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arine\AppData\Local\Microsoft\Windows\INetCache\Content.Outlook\7UYAW1QS\"/>
    </mc:Choice>
  </mc:AlternateContent>
  <xr:revisionPtr revIDLastSave="0" documentId="8_{A68794EC-B70A-4E19-AEEE-B8967828CDF6}" xr6:coauthVersionLast="45" xr6:coauthVersionMax="45" xr10:uidLastSave="{00000000-0000-0000-0000-000000000000}"/>
  <bookViews>
    <workbookView xWindow="-110" yWindow="-110" windowWidth="19420" windowHeight="10420" xr2:uid="{2EBC3102-6253-40FD-908C-890FC8765FC2}"/>
  </bookViews>
  <sheets>
    <sheet name="Env plant inf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5" i="1" l="1"/>
  <c r="O25" i="1"/>
  <c r="N25" i="1"/>
  <c r="M25" i="1"/>
  <c r="J25" i="1"/>
  <c r="G25" i="1"/>
  <c r="D25" i="1"/>
  <c r="C25" i="1"/>
  <c r="B25" i="1"/>
  <c r="N14" i="1" l="1"/>
  <c r="N13" i="1"/>
  <c r="N12" i="1"/>
  <c r="N10" i="1"/>
  <c r="N8" i="1"/>
  <c r="M8" i="1"/>
  <c r="N6" i="1"/>
  <c r="N7" i="1"/>
  <c r="N5" i="1"/>
  <c r="S3" i="1"/>
  <c r="R19" i="1" l="1"/>
  <c r="S19" i="1"/>
  <c r="R22" i="1"/>
  <c r="R24" i="1"/>
  <c r="E25" i="1" l="1"/>
  <c r="F25" i="1"/>
  <c r="H25" i="1"/>
  <c r="I25" i="1"/>
  <c r="K25" i="1"/>
  <c r="L25" i="1"/>
  <c r="Q25" i="1"/>
  <c r="S25" i="1" l="1"/>
  <c r="R25" i="1"/>
  <c r="S28" i="1"/>
  <c r="S26" i="1"/>
  <c r="S22" i="1"/>
  <c r="S24" i="1"/>
  <c r="C7" i="1" l="1"/>
  <c r="D7" i="1"/>
  <c r="E7" i="1"/>
  <c r="F7" i="1"/>
  <c r="G7" i="1"/>
  <c r="H7" i="1"/>
  <c r="I7" i="1"/>
  <c r="J7" i="1"/>
  <c r="K7" i="1"/>
  <c r="L7" i="1"/>
  <c r="M7" i="1"/>
  <c r="O7" i="1"/>
  <c r="P7" i="1"/>
  <c r="Q7" i="1"/>
  <c r="B7" i="1"/>
  <c r="C14" i="1"/>
  <c r="D14" i="1"/>
  <c r="E14" i="1"/>
  <c r="F14" i="1"/>
  <c r="G14" i="1"/>
  <c r="H14" i="1"/>
  <c r="I14" i="1"/>
  <c r="J14" i="1"/>
  <c r="K14" i="1"/>
  <c r="L14" i="1"/>
  <c r="M14" i="1"/>
  <c r="O14" i="1"/>
  <c r="P14" i="1"/>
  <c r="Q14" i="1"/>
  <c r="B14" i="1"/>
  <c r="C13" i="1"/>
  <c r="D13" i="1"/>
  <c r="E13" i="1"/>
  <c r="F13" i="1"/>
  <c r="G13" i="1"/>
  <c r="H13" i="1"/>
  <c r="I13" i="1"/>
  <c r="J13" i="1"/>
  <c r="K13" i="1"/>
  <c r="L13" i="1"/>
  <c r="M13" i="1"/>
  <c r="O13" i="1"/>
  <c r="P13" i="1"/>
  <c r="Q13" i="1"/>
  <c r="B13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B17" i="1"/>
  <c r="S16" i="1"/>
  <c r="S17" i="1" s="1"/>
  <c r="R16" i="1"/>
  <c r="R17" i="1" s="1"/>
  <c r="C11" i="1"/>
  <c r="G11" i="1"/>
  <c r="I11" i="1"/>
  <c r="J11" i="1"/>
  <c r="K11" i="1"/>
  <c r="L11" i="1"/>
  <c r="N11" i="1"/>
  <c r="O11" i="1"/>
  <c r="Q11" i="1"/>
  <c r="B11" i="1"/>
  <c r="C12" i="1"/>
  <c r="D12" i="1"/>
  <c r="E12" i="1"/>
  <c r="F12" i="1"/>
  <c r="G12" i="1"/>
  <c r="H12" i="1"/>
  <c r="I12" i="1"/>
  <c r="J12" i="1"/>
  <c r="K12" i="1"/>
  <c r="L12" i="1"/>
  <c r="M12" i="1"/>
  <c r="O12" i="1"/>
  <c r="P12" i="1"/>
  <c r="Q12" i="1"/>
  <c r="B12" i="1"/>
  <c r="C10" i="1"/>
  <c r="D10" i="1"/>
  <c r="E10" i="1"/>
  <c r="F10" i="1"/>
  <c r="G10" i="1"/>
  <c r="H10" i="1"/>
  <c r="I10" i="1"/>
  <c r="J10" i="1"/>
  <c r="K10" i="1"/>
  <c r="L10" i="1"/>
  <c r="M10" i="1"/>
  <c r="O10" i="1"/>
  <c r="P10" i="1"/>
  <c r="Q10" i="1"/>
  <c r="B10" i="1"/>
  <c r="R9" i="1"/>
  <c r="S9" i="1"/>
  <c r="C8" i="1"/>
  <c r="D8" i="1"/>
  <c r="E8" i="1"/>
  <c r="F8" i="1"/>
  <c r="G8" i="1"/>
  <c r="H8" i="1"/>
  <c r="I8" i="1"/>
  <c r="J8" i="1"/>
  <c r="K8" i="1"/>
  <c r="L8" i="1"/>
  <c r="O8" i="1"/>
  <c r="P8" i="1"/>
  <c r="Q8" i="1"/>
  <c r="B8" i="1"/>
  <c r="C6" i="1"/>
  <c r="D6" i="1"/>
  <c r="E6" i="1"/>
  <c r="F6" i="1"/>
  <c r="G6" i="1"/>
  <c r="H6" i="1"/>
  <c r="I6" i="1"/>
  <c r="J6" i="1"/>
  <c r="K6" i="1"/>
  <c r="L6" i="1"/>
  <c r="M6" i="1"/>
  <c r="O6" i="1"/>
  <c r="P6" i="1"/>
  <c r="Q6" i="1"/>
  <c r="B6" i="1"/>
  <c r="C5" i="1"/>
  <c r="D5" i="1"/>
  <c r="E5" i="1"/>
  <c r="F5" i="1"/>
  <c r="G5" i="1"/>
  <c r="H5" i="1"/>
  <c r="I5" i="1"/>
  <c r="J5" i="1"/>
  <c r="K5" i="1"/>
  <c r="L5" i="1"/>
  <c r="M5" i="1"/>
  <c r="O5" i="1"/>
  <c r="P5" i="1"/>
  <c r="Q5" i="1"/>
  <c r="B5" i="1"/>
  <c r="S2" i="1"/>
  <c r="S7" i="1" s="1"/>
  <c r="R2" i="1"/>
  <c r="R14" i="1" s="1"/>
  <c r="S4" i="1"/>
  <c r="R4" i="1"/>
  <c r="R7" i="1" l="1"/>
  <c r="S13" i="1"/>
  <c r="R13" i="1"/>
  <c r="S14" i="1"/>
  <c r="R6" i="1"/>
  <c r="S5" i="1"/>
  <c r="R5" i="1"/>
  <c r="R8" i="1"/>
  <c r="S11" i="1"/>
  <c r="R11" i="1"/>
  <c r="S12" i="1"/>
  <c r="R12" i="1"/>
  <c r="R10" i="1"/>
  <c r="S10" i="1"/>
  <c r="S8" i="1"/>
  <c r="S6" i="1"/>
</calcChain>
</file>

<file path=xl/sharedStrings.xml><?xml version="1.0" encoding="utf-8"?>
<sst xmlns="http://schemas.openxmlformats.org/spreadsheetml/2006/main" count="112" uniqueCount="49">
  <si>
    <t>Woburn</t>
  </si>
  <si>
    <t>Oxford</t>
  </si>
  <si>
    <t>Zeta</t>
  </si>
  <si>
    <t>Blawnox</t>
  </si>
  <si>
    <t>Hickory</t>
  </si>
  <si>
    <t>Lenoir</t>
  </si>
  <si>
    <t>Greenville</t>
  </si>
  <si>
    <t>Evanston</t>
  </si>
  <si>
    <t>Houston</t>
  </si>
  <si>
    <t>Newark</t>
  </si>
  <si>
    <t>Winnersh</t>
  </si>
  <si>
    <t>Rye</t>
  </si>
  <si>
    <t>France</t>
  </si>
  <si>
    <t>India</t>
  </si>
  <si>
    <t>Suzhou</t>
  </si>
  <si>
    <t>Total US</t>
  </si>
  <si>
    <t>Total company</t>
  </si>
  <si>
    <t>N/A</t>
  </si>
  <si>
    <t>None</t>
  </si>
  <si>
    <t>Electricity usage from other (renewable sources)</t>
  </si>
  <si>
    <t>WW/Admin</t>
  </si>
  <si>
    <t>tol</t>
  </si>
  <si>
    <t>Metric tons VOC emissions (solvent use facility emissions)</t>
  </si>
  <si>
    <t>Total Metric tons NonHazardous Waste generated</t>
  </si>
  <si>
    <t>% Hazardous Waste landfilled</t>
  </si>
  <si>
    <t>Town water usage (gal)</t>
  </si>
  <si>
    <t>Metric tons Hazardous Waste generated</t>
  </si>
  <si>
    <t>% Hazardous waste incinerated / recycled</t>
  </si>
  <si>
    <t>Electricity usage from Grid (kWh)</t>
  </si>
  <si>
    <t>Metric tons NonHazardous Waste from manifests (incineration /solidification)</t>
  </si>
  <si>
    <t>Metric tons NonHazardous Waste recycled</t>
  </si>
  <si>
    <t>Metric tons NonHazardous Waste landfilled (trash, NonHaz)</t>
  </si>
  <si>
    <t>Natural gas usage (MMCF)</t>
  </si>
  <si>
    <t>Metric tons NOX emissions</t>
  </si>
  <si>
    <t>Metric tons CO2 emissions</t>
  </si>
  <si>
    <t>Metric tons CO emissions</t>
  </si>
  <si>
    <t>Metric tons VOC emissions</t>
  </si>
  <si>
    <t>SOX emissions</t>
  </si>
  <si>
    <t>Metric tons HAP emissions</t>
  </si>
  <si>
    <t>Metric tons PM emissions</t>
  </si>
  <si>
    <t>Metric tons CH4 emissions</t>
  </si>
  <si>
    <t>Metric tons N2O emissions</t>
  </si>
  <si>
    <t>Metric tons Fluorinated Hydrocarbon emissions</t>
  </si>
  <si>
    <t>Water recycled (gal)</t>
  </si>
  <si>
    <t>Wastewater discharge (gal)</t>
  </si>
  <si>
    <t>Employee count 2019 year avg.</t>
  </si>
  <si>
    <t>Chase Corp calendar 2019 (Baseline)</t>
  </si>
  <si>
    <t>Diesel and Kerosene (MGal)</t>
  </si>
  <si>
    <t>Accidental environmental releases last 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</si>
</sst>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2" fontId="2" fillId="0" borderId="4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2" fontId="2" fillId="2" borderId="4" xfId="0" applyNumberFormat="1" applyFont="1" applyFill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1" fillId="0" borderId="0" xfId="0" applyFont="1"/>
    <xf numFmtId="2" fontId="2" fillId="0" borderId="16" xfId="0" applyNumberFormat="1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 wrapText="1"/>
    </xf>
    <xf numFmtId="1" fontId="2" fillId="0" borderId="7" xfId="0" applyNumberFormat="1" applyFont="1" applyFill="1" applyBorder="1" applyAlignment="1">
      <alignment horizontal="center" wrapText="1"/>
    </xf>
    <xf numFmtId="0" fontId="0" fillId="0" borderId="0" xfId="0" applyFont="1"/>
    <xf numFmtId="2" fontId="2" fillId="2" borderId="7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wrapText="1"/>
    </xf>
    <xf numFmtId="3" fontId="2" fillId="0" borderId="19" xfId="0" applyNumberFormat="1" applyFont="1" applyFill="1" applyBorder="1" applyAlignment="1">
      <alignment horizontal="center" wrapText="1"/>
    </xf>
    <xf numFmtId="3" fontId="2" fillId="0" borderId="7" xfId="0" applyNumberFormat="1" applyFont="1" applyFill="1" applyBorder="1" applyAlignment="1">
      <alignment horizontal="center" wrapText="1"/>
    </xf>
    <xf numFmtId="2" fontId="2" fillId="2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1" fontId="2" fillId="0" borderId="19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5" fillId="3" borderId="0" xfId="0" applyFont="1" applyFill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2" fontId="7" fillId="0" borderId="2" xfId="0" applyNumberFormat="1" applyFont="1" applyBorder="1" applyAlignment="1">
      <alignment horizontal="center" wrapText="1"/>
    </xf>
    <xf numFmtId="2" fontId="7" fillId="0" borderId="25" xfId="0" applyNumberFormat="1" applyFont="1" applyBorder="1" applyAlignment="1">
      <alignment horizontal="center" wrapText="1"/>
    </xf>
    <xf numFmtId="2" fontId="7" fillId="0" borderId="24" xfId="0" applyNumberFormat="1" applyFont="1" applyBorder="1" applyAlignment="1">
      <alignment horizontal="center" wrapText="1"/>
    </xf>
    <xf numFmtId="2" fontId="7" fillId="0" borderId="18" xfId="0" applyNumberFormat="1" applyFont="1" applyBorder="1" applyAlignment="1">
      <alignment horizontal="center" wrapText="1"/>
    </xf>
    <xf numFmtId="2" fontId="7" fillId="0" borderId="28" xfId="0" applyNumberFormat="1" applyFont="1" applyBorder="1" applyAlignment="1">
      <alignment horizontal="center" wrapText="1"/>
    </xf>
    <xf numFmtId="2" fontId="7" fillId="0" borderId="8" xfId="0" applyNumberFormat="1" applyFont="1" applyBorder="1" applyAlignment="1">
      <alignment horizontal="center" wrapText="1"/>
    </xf>
    <xf numFmtId="2" fontId="7" fillId="0" borderId="23" xfId="0" applyNumberFormat="1" applyFont="1" applyBorder="1" applyAlignment="1">
      <alignment horizontal="center" wrapText="1"/>
    </xf>
    <xf numFmtId="1" fontId="7" fillId="0" borderId="6" xfId="0" applyNumberFormat="1" applyFont="1" applyBorder="1" applyAlignment="1">
      <alignment horizontal="center" wrapText="1"/>
    </xf>
    <xf numFmtId="1" fontId="7" fillId="0" borderId="20" xfId="0" applyNumberFormat="1" applyFont="1" applyBorder="1" applyAlignment="1">
      <alignment horizontal="center" wrapText="1"/>
    </xf>
    <xf numFmtId="1" fontId="7" fillId="0" borderId="15" xfId="0" applyNumberFormat="1" applyFont="1" applyBorder="1" applyAlignment="1">
      <alignment horizontal="center" wrapText="1"/>
    </xf>
    <xf numFmtId="1" fontId="7" fillId="0" borderId="25" xfId="0" applyNumberFormat="1" applyFont="1" applyBorder="1" applyAlignment="1">
      <alignment horizontal="center" wrapText="1"/>
    </xf>
    <xf numFmtId="3" fontId="7" fillId="0" borderId="6" xfId="0" applyNumberFormat="1" applyFont="1" applyBorder="1" applyAlignment="1">
      <alignment horizontal="center" wrapText="1"/>
    </xf>
    <xf numFmtId="3" fontId="7" fillId="0" borderId="20" xfId="0" applyNumberFormat="1" applyFont="1" applyBorder="1" applyAlignment="1">
      <alignment horizontal="center" wrapText="1"/>
    </xf>
    <xf numFmtId="2" fontId="7" fillId="0" borderId="8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10" xfId="0" applyFont="1" applyBorder="1" applyAlignment="1">
      <alignment wrapText="1"/>
    </xf>
    <xf numFmtId="2" fontId="2" fillId="0" borderId="19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wrapText="1"/>
    </xf>
  </cellXfs>
  <cellStyles count="2">
    <cellStyle name="Normal" xfId="0" builtinId="0"/>
    <cellStyle name="Normal 2" xfId="1" xr:uid="{82CBAAC3-F3B5-441E-BA17-D05F0807EA82}"/>
  </cellStyles>
  <dxfs count="0"/>
  <tableStyles count="0" defaultTableStyle="TableStyleMedium2" defaultPivotStyle="PivotStyleLight16"/>
  <colors>
    <mruColors>
      <color rgb="FFCC66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049B4-B1DF-4284-A770-A8197089BA3A}">
  <sheetPr>
    <tabColor rgb="FFFFFF00"/>
  </sheetPr>
  <dimension ref="A1:S60"/>
  <sheetViews>
    <sheetView showGridLines="0" tabSelected="1" zoomScale="90" zoomScaleNormal="90" workbookViewId="0">
      <pane ySplit="1" topLeftCell="A2" activePane="bottomLeft" state="frozen"/>
      <selection pane="bottomLeft" activeCell="B2" sqref="B2"/>
    </sheetView>
  </sheetViews>
  <sheetFormatPr defaultColWidth="8.81640625" defaultRowHeight="14.5" x14ac:dyDescent="0.35"/>
  <cols>
    <col min="1" max="1" width="23.453125" customWidth="1"/>
    <col min="2" max="2" width="9.1796875" customWidth="1"/>
    <col min="9" max="9" width="9.36328125" customWidth="1"/>
    <col min="13" max="13" width="9.36328125" customWidth="1"/>
    <col min="18" max="18" width="9" bestFit="1" customWidth="1"/>
    <col min="19" max="19" width="9.36328125" customWidth="1"/>
  </cols>
  <sheetData>
    <row r="1" spans="1:19" ht="29.5" thickTop="1" x14ac:dyDescent="0.35">
      <c r="A1" s="41" t="s">
        <v>46</v>
      </c>
      <c r="B1" s="42" t="s">
        <v>20</v>
      </c>
      <c r="C1" s="43" t="s">
        <v>0</v>
      </c>
      <c r="D1" s="43" t="s">
        <v>1</v>
      </c>
      <c r="E1" s="43" t="s">
        <v>2</v>
      </c>
      <c r="F1" s="43" t="s">
        <v>3</v>
      </c>
      <c r="G1" s="43" t="s">
        <v>4</v>
      </c>
      <c r="H1" s="43" t="s">
        <v>5</v>
      </c>
      <c r="I1" s="43" t="s">
        <v>6</v>
      </c>
      <c r="J1" s="43" t="s">
        <v>7</v>
      </c>
      <c r="K1" s="43" t="s">
        <v>8</v>
      </c>
      <c r="L1" s="43" t="s">
        <v>9</v>
      </c>
      <c r="M1" s="43" t="s">
        <v>10</v>
      </c>
      <c r="N1" s="43" t="s">
        <v>11</v>
      </c>
      <c r="O1" s="43" t="s">
        <v>12</v>
      </c>
      <c r="P1" s="43" t="s">
        <v>13</v>
      </c>
      <c r="Q1" s="44" t="s">
        <v>14</v>
      </c>
      <c r="R1" s="45" t="s">
        <v>15</v>
      </c>
      <c r="S1" s="46" t="s">
        <v>16</v>
      </c>
    </row>
    <row r="2" spans="1:19" x14ac:dyDescent="0.35">
      <c r="A2" s="71" t="s">
        <v>32</v>
      </c>
      <c r="B2" s="27">
        <v>1.08</v>
      </c>
      <c r="C2" s="8">
        <v>6.06</v>
      </c>
      <c r="D2" s="8">
        <v>3.3</v>
      </c>
      <c r="E2" s="8">
        <v>5.36</v>
      </c>
      <c r="F2" s="8">
        <v>7.65</v>
      </c>
      <c r="G2" s="8">
        <v>0.44</v>
      </c>
      <c r="H2" s="8">
        <v>72.599999999999994</v>
      </c>
      <c r="I2" s="8">
        <v>1.1200000000000001</v>
      </c>
      <c r="J2" s="8">
        <v>13.04</v>
      </c>
      <c r="K2" s="8">
        <v>1.5</v>
      </c>
      <c r="L2" s="8">
        <v>3.79</v>
      </c>
      <c r="M2" s="8">
        <v>1.1399999999999999</v>
      </c>
      <c r="N2" s="8">
        <v>1.1200000000000001</v>
      </c>
      <c r="O2" s="8">
        <v>0</v>
      </c>
      <c r="P2" s="8">
        <v>0</v>
      </c>
      <c r="Q2" s="35">
        <v>0</v>
      </c>
      <c r="R2" s="47">
        <f>SUM(B2:L2)</f>
        <v>115.94000000000001</v>
      </c>
      <c r="S2" s="48">
        <f>SUM(B2:Q2)</f>
        <v>118.20000000000002</v>
      </c>
    </row>
    <row r="3" spans="1:19" x14ac:dyDescent="0.35">
      <c r="A3" s="71" t="s">
        <v>47</v>
      </c>
      <c r="B3" s="27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57.4</v>
      </c>
      <c r="O3" s="8">
        <v>0</v>
      </c>
      <c r="P3" s="8">
        <v>0</v>
      </c>
      <c r="Q3" s="35">
        <v>0</v>
      </c>
      <c r="R3" s="47">
        <v>0</v>
      </c>
      <c r="S3" s="48">
        <f>N3</f>
        <v>57.4</v>
      </c>
    </row>
    <row r="4" spans="1:19" ht="26.5" x14ac:dyDescent="0.35">
      <c r="A4" s="71" t="s">
        <v>45</v>
      </c>
      <c r="B4" s="2">
        <v>100</v>
      </c>
      <c r="C4" s="3">
        <v>36</v>
      </c>
      <c r="D4" s="3">
        <v>87</v>
      </c>
      <c r="E4" s="3">
        <v>26</v>
      </c>
      <c r="F4" s="3">
        <v>30</v>
      </c>
      <c r="G4" s="3">
        <v>84</v>
      </c>
      <c r="H4" s="3">
        <v>134</v>
      </c>
      <c r="I4" s="3">
        <v>20</v>
      </c>
      <c r="J4" s="3">
        <v>31</v>
      </c>
      <c r="K4" s="3">
        <v>9</v>
      </c>
      <c r="L4" s="3">
        <v>19</v>
      </c>
      <c r="M4" s="3">
        <v>39</v>
      </c>
      <c r="N4" s="3">
        <v>30</v>
      </c>
      <c r="O4" s="3">
        <v>4</v>
      </c>
      <c r="P4" s="3">
        <v>14</v>
      </c>
      <c r="Q4" s="4">
        <v>48</v>
      </c>
      <c r="R4" s="47">
        <f>SUM(B4:L4)</f>
        <v>576</v>
      </c>
      <c r="S4" s="48">
        <f>SUM(B4:Q4)</f>
        <v>711</v>
      </c>
    </row>
    <row r="5" spans="1:19" x14ac:dyDescent="0.35">
      <c r="A5" s="71" t="s">
        <v>33</v>
      </c>
      <c r="B5" s="2">
        <f t="shared" ref="B5:M5" si="0">(B2*100)/2205</f>
        <v>4.8979591836734691E-2</v>
      </c>
      <c r="C5" s="2">
        <f t="shared" si="0"/>
        <v>0.2748299319727891</v>
      </c>
      <c r="D5" s="2">
        <f t="shared" si="0"/>
        <v>0.14965986394557823</v>
      </c>
      <c r="E5" s="2">
        <f t="shared" si="0"/>
        <v>0.24308390022675738</v>
      </c>
      <c r="F5" s="2">
        <f t="shared" si="0"/>
        <v>0.34693877551020408</v>
      </c>
      <c r="G5" s="2">
        <f t="shared" si="0"/>
        <v>1.9954648526077097E-2</v>
      </c>
      <c r="H5" s="2">
        <f t="shared" si="0"/>
        <v>3.2925170068027207</v>
      </c>
      <c r="I5" s="2">
        <f t="shared" si="0"/>
        <v>5.0793650793650801E-2</v>
      </c>
      <c r="J5" s="2">
        <f t="shared" si="0"/>
        <v>0.59138321995464849</v>
      </c>
      <c r="K5" s="2">
        <f t="shared" si="0"/>
        <v>6.8027210884353748E-2</v>
      </c>
      <c r="L5" s="2">
        <f t="shared" si="0"/>
        <v>0.17188208616780046</v>
      </c>
      <c r="M5" s="2">
        <f t="shared" si="0"/>
        <v>5.1700680272108834E-2</v>
      </c>
      <c r="N5" s="2">
        <f>((N2*100)/2205)+(N3*20)/2205</f>
        <v>0.57142857142857151</v>
      </c>
      <c r="O5" s="2">
        <f>(O2*100)/2205</f>
        <v>0</v>
      </c>
      <c r="P5" s="2">
        <f>(P2*100)/2205</f>
        <v>0</v>
      </c>
      <c r="Q5" s="6">
        <f>(Q2*100)/2205</f>
        <v>0</v>
      </c>
      <c r="R5" s="47">
        <f>SUM(B5:L5)</f>
        <v>5.2580498866213139</v>
      </c>
      <c r="S5" s="48">
        <f>SUM(B5:Q5)</f>
        <v>5.8811791383219942</v>
      </c>
    </row>
    <row r="6" spans="1:19" x14ac:dyDescent="0.35">
      <c r="A6" s="71" t="s">
        <v>34</v>
      </c>
      <c r="B6" s="2">
        <f t="shared" ref="B6:M6" si="1">(B2*120000)/2205</f>
        <v>58.775510204081641</v>
      </c>
      <c r="C6" s="2">
        <f t="shared" si="1"/>
        <v>329.79591836734693</v>
      </c>
      <c r="D6" s="2">
        <f t="shared" si="1"/>
        <v>179.59183673469389</v>
      </c>
      <c r="E6" s="2">
        <f t="shared" si="1"/>
        <v>291.70068027210885</v>
      </c>
      <c r="F6" s="2">
        <f t="shared" si="1"/>
        <v>416.32653061224488</v>
      </c>
      <c r="G6" s="2">
        <f t="shared" si="1"/>
        <v>23.945578231292519</v>
      </c>
      <c r="H6" s="2">
        <f t="shared" si="1"/>
        <v>3951.0204081632655</v>
      </c>
      <c r="I6" s="2">
        <f t="shared" si="1"/>
        <v>60.952380952380949</v>
      </c>
      <c r="J6" s="2">
        <f t="shared" si="1"/>
        <v>709.65986394557819</v>
      </c>
      <c r="K6" s="2">
        <f t="shared" si="1"/>
        <v>81.632653061224488</v>
      </c>
      <c r="L6" s="2">
        <f t="shared" si="1"/>
        <v>206.25850340136054</v>
      </c>
      <c r="M6" s="2">
        <f t="shared" si="1"/>
        <v>62.04081632653061</v>
      </c>
      <c r="N6" s="2">
        <f>((N2*120000)/2205)+(N3*22000)/2205</f>
        <v>633.65079365079362</v>
      </c>
      <c r="O6" s="2">
        <f>(O2*120000)/2205</f>
        <v>0</v>
      </c>
      <c r="P6" s="2">
        <f>(P2*120000)/2205</f>
        <v>0</v>
      </c>
      <c r="Q6" s="6">
        <f>(Q2*120000)/2205</f>
        <v>0</v>
      </c>
      <c r="R6" s="47">
        <f t="shared" ref="R6:R12" si="2">SUM(B6:L6)</f>
        <v>6309.6598639455779</v>
      </c>
      <c r="S6" s="48">
        <f t="shared" ref="S6:S12" si="3">SUM(B6:Q6)</f>
        <v>7005.3514739229022</v>
      </c>
    </row>
    <row r="7" spans="1:19" x14ac:dyDescent="0.35">
      <c r="A7" s="71" t="s">
        <v>35</v>
      </c>
      <c r="B7" s="2">
        <f t="shared" ref="B7:M7" si="4">(B2*84)/2205</f>
        <v>4.1142857142857141E-2</v>
      </c>
      <c r="C7" s="2">
        <f t="shared" si="4"/>
        <v>0.23085714285714284</v>
      </c>
      <c r="D7" s="2">
        <f t="shared" si="4"/>
        <v>0.12571428571428572</v>
      </c>
      <c r="E7" s="2">
        <f t="shared" si="4"/>
        <v>0.2041904761904762</v>
      </c>
      <c r="F7" s="2">
        <f t="shared" si="4"/>
        <v>0.29142857142857143</v>
      </c>
      <c r="G7" s="2">
        <f t="shared" si="4"/>
        <v>1.6761904761904763E-2</v>
      </c>
      <c r="H7" s="2">
        <f t="shared" si="4"/>
        <v>2.7657142857142856</v>
      </c>
      <c r="I7" s="2">
        <f t="shared" si="4"/>
        <v>4.2666666666666672E-2</v>
      </c>
      <c r="J7" s="2">
        <f t="shared" si="4"/>
        <v>0.49676190476190474</v>
      </c>
      <c r="K7" s="2">
        <f t="shared" si="4"/>
        <v>5.7142857142857141E-2</v>
      </c>
      <c r="L7" s="2">
        <f t="shared" si="4"/>
        <v>0.14438095238095239</v>
      </c>
      <c r="M7" s="2">
        <f t="shared" si="4"/>
        <v>4.3428571428571427E-2</v>
      </c>
      <c r="N7" s="2">
        <f>((N2*84)/2205)+(N3*5)/2205</f>
        <v>0.17282539682539683</v>
      </c>
      <c r="O7" s="2">
        <f>(O2*84)/2205</f>
        <v>0</v>
      </c>
      <c r="P7" s="2">
        <f>(P2*84)/2205</f>
        <v>0</v>
      </c>
      <c r="Q7" s="6">
        <f>(Q2*84)/2205</f>
        <v>0</v>
      </c>
      <c r="R7" s="47">
        <f>(R2*84)/2205</f>
        <v>4.4167619047619056</v>
      </c>
      <c r="S7" s="49">
        <f>(S2*84)/2205</f>
        <v>4.5028571428571436</v>
      </c>
    </row>
    <row r="8" spans="1:19" x14ac:dyDescent="0.35">
      <c r="A8" s="71" t="s">
        <v>36</v>
      </c>
      <c r="B8" s="2">
        <f t="shared" ref="B8:M8" si="5">(B2*5.5)/2205</f>
        <v>2.6938775510204085E-3</v>
      </c>
      <c r="C8" s="2">
        <f t="shared" si="5"/>
        <v>1.5115646258503401E-2</v>
      </c>
      <c r="D8" s="2">
        <f t="shared" si="5"/>
        <v>8.2312925170068014E-3</v>
      </c>
      <c r="E8" s="2">
        <f t="shared" si="5"/>
        <v>1.3369614512471656E-2</v>
      </c>
      <c r="F8" s="2">
        <f t="shared" si="5"/>
        <v>1.9081632653061224E-2</v>
      </c>
      <c r="G8" s="2">
        <f t="shared" si="5"/>
        <v>1.0975056689342404E-3</v>
      </c>
      <c r="H8" s="2">
        <f t="shared" si="5"/>
        <v>0.18108843537414965</v>
      </c>
      <c r="I8" s="2">
        <f t="shared" si="5"/>
        <v>2.7936507936507939E-3</v>
      </c>
      <c r="J8" s="2">
        <f t="shared" si="5"/>
        <v>3.2526077097505671E-2</v>
      </c>
      <c r="K8" s="2">
        <f t="shared" si="5"/>
        <v>3.7414965986394557E-3</v>
      </c>
      <c r="L8" s="2">
        <f t="shared" si="5"/>
        <v>9.4535147392290249E-3</v>
      </c>
      <c r="M8" s="2">
        <f t="shared" si="5"/>
        <v>2.8435374149659862E-3</v>
      </c>
      <c r="N8" s="2">
        <f>((N2*5.5)/2205)+(N3*0.252)/2205</f>
        <v>9.3536507936507942E-3</v>
      </c>
      <c r="O8" s="2">
        <f>(O2*5.5)/2205</f>
        <v>0</v>
      </c>
      <c r="P8" s="2">
        <f>(P2*5.5)/2205</f>
        <v>0</v>
      </c>
      <c r="Q8" s="6">
        <f>(Q2*5.5)/2205</f>
        <v>0</v>
      </c>
      <c r="R8" s="47">
        <f t="shared" si="2"/>
        <v>0.28919274376417231</v>
      </c>
      <c r="S8" s="48">
        <f t="shared" si="3"/>
        <v>0.30138993197278913</v>
      </c>
    </row>
    <row r="9" spans="1:19" ht="39.5" x14ac:dyDescent="0.35">
      <c r="A9" s="71" t="s">
        <v>22</v>
      </c>
      <c r="B9" s="2">
        <v>0</v>
      </c>
      <c r="C9" s="8">
        <v>2.39</v>
      </c>
      <c r="D9" s="8">
        <v>0.25</v>
      </c>
      <c r="E9" s="8">
        <v>0.49</v>
      </c>
      <c r="F9" s="8">
        <v>0.18</v>
      </c>
      <c r="G9" s="8">
        <v>0</v>
      </c>
      <c r="H9" s="3">
        <v>7.84</v>
      </c>
      <c r="I9" s="3">
        <v>0</v>
      </c>
      <c r="J9" s="3">
        <v>14.66</v>
      </c>
      <c r="K9" s="8">
        <v>0</v>
      </c>
      <c r="L9" s="8">
        <v>0.28999999999999998</v>
      </c>
      <c r="M9" s="7"/>
      <c r="N9" s="7"/>
      <c r="O9" s="8">
        <v>0</v>
      </c>
      <c r="P9" s="7"/>
      <c r="Q9" s="4">
        <v>0</v>
      </c>
      <c r="R9" s="47">
        <f t="shared" ref="R9" si="6">SUM(B9:L9)</f>
        <v>26.1</v>
      </c>
      <c r="S9" s="48">
        <f t="shared" ref="S9" si="7">SUM(B9:Q9)</f>
        <v>26.1</v>
      </c>
    </row>
    <row r="10" spans="1:19" x14ac:dyDescent="0.35">
      <c r="A10" s="71" t="s">
        <v>37</v>
      </c>
      <c r="B10" s="2">
        <f t="shared" ref="B10:M10" si="8">(B2*0.6)/2205</f>
        <v>2.9387755102040818E-4</v>
      </c>
      <c r="C10" s="2">
        <f t="shared" si="8"/>
        <v>1.6489795918367346E-3</v>
      </c>
      <c r="D10" s="2">
        <f t="shared" si="8"/>
        <v>8.9795918367346927E-4</v>
      </c>
      <c r="E10" s="2">
        <f t="shared" si="8"/>
        <v>1.4585034013605443E-3</v>
      </c>
      <c r="F10" s="2">
        <f t="shared" si="8"/>
        <v>2.0816326530612244E-3</v>
      </c>
      <c r="G10" s="2">
        <f t="shared" si="8"/>
        <v>1.1972789115646259E-4</v>
      </c>
      <c r="H10" s="2">
        <f t="shared" si="8"/>
        <v>1.9755102040816323E-2</v>
      </c>
      <c r="I10" s="2">
        <f t="shared" si="8"/>
        <v>3.0476190476190479E-4</v>
      </c>
      <c r="J10" s="2">
        <f t="shared" si="8"/>
        <v>3.5482993197278908E-3</v>
      </c>
      <c r="K10" s="2">
        <f t="shared" si="8"/>
        <v>4.0816326530612241E-4</v>
      </c>
      <c r="L10" s="2">
        <f t="shared" si="8"/>
        <v>1.0312925170068027E-3</v>
      </c>
      <c r="M10" s="2">
        <f t="shared" si="8"/>
        <v>3.1020408163265302E-4</v>
      </c>
      <c r="N10" s="2">
        <f>((N2*0.6)/2205)+(N3*142)/2205</f>
        <v>3.6968126984126983</v>
      </c>
      <c r="O10" s="2">
        <f>(O2*0.6)/2205</f>
        <v>0</v>
      </c>
      <c r="P10" s="2">
        <f>(P2*0.6)/2205</f>
        <v>0</v>
      </c>
      <c r="Q10" s="6">
        <f>(Q2*0.6)/2205</f>
        <v>0</v>
      </c>
      <c r="R10" s="47">
        <f t="shared" si="2"/>
        <v>3.1548299319727892E-2</v>
      </c>
      <c r="S10" s="48">
        <f t="shared" si="3"/>
        <v>3.7286712018140591</v>
      </c>
    </row>
    <row r="11" spans="1:19" x14ac:dyDescent="0.35">
      <c r="A11" s="71" t="s">
        <v>38</v>
      </c>
      <c r="B11" s="2">
        <f>(B2*1.8)/2205</f>
        <v>8.816326530612246E-4</v>
      </c>
      <c r="C11" s="2">
        <f>(C2*1.8)/2205</f>
        <v>4.9469387755102035E-3</v>
      </c>
      <c r="D11" s="27">
        <v>7.0000000000000007E-2</v>
      </c>
      <c r="E11" s="27">
        <v>3.7999999999999999E-2</v>
      </c>
      <c r="F11" s="27">
        <v>0.14399999999999999</v>
      </c>
      <c r="G11" s="2">
        <f>(G2*1.8)/2205</f>
        <v>3.5918367346938779E-4</v>
      </c>
      <c r="H11" s="2">
        <v>3.86</v>
      </c>
      <c r="I11" s="2">
        <f>(I2*1.8)/2205</f>
        <v>9.1428571428571448E-4</v>
      </c>
      <c r="J11" s="2">
        <f>(J2*1.8)/2205</f>
        <v>1.0644897959183672E-2</v>
      </c>
      <c r="K11" s="2">
        <f>(K2*1.8)/2205</f>
        <v>1.2244897959183675E-3</v>
      </c>
      <c r="L11" s="2">
        <f>(L2*1.8)/2205</f>
        <v>3.0938775510204082E-3</v>
      </c>
      <c r="M11" s="5" t="s">
        <v>21</v>
      </c>
      <c r="N11" s="5">
        <f>(N2*1.8)/2205</f>
        <v>9.1428571428571448E-4</v>
      </c>
      <c r="O11" s="2">
        <f>(O2*1.8)/2205</f>
        <v>0</v>
      </c>
      <c r="P11" s="5" t="s">
        <v>21</v>
      </c>
      <c r="Q11" s="6">
        <f>(Q2*1.8)/2205</f>
        <v>0</v>
      </c>
      <c r="R11" s="47">
        <f t="shared" si="2"/>
        <v>4.1340653061224479</v>
      </c>
      <c r="S11" s="48">
        <f t="shared" si="3"/>
        <v>4.1349795918367338</v>
      </c>
    </row>
    <row r="12" spans="1:19" x14ac:dyDescent="0.35">
      <c r="A12" s="71" t="s">
        <v>39</v>
      </c>
      <c r="B12" s="2">
        <f t="shared" ref="B12:M12" si="9">(B2*7.6)/2205</f>
        <v>3.7224489795918366E-3</v>
      </c>
      <c r="C12" s="2">
        <f t="shared" si="9"/>
        <v>2.0887074829931972E-2</v>
      </c>
      <c r="D12" s="2">
        <f t="shared" si="9"/>
        <v>1.1374149659863945E-2</v>
      </c>
      <c r="E12" s="2">
        <f t="shared" si="9"/>
        <v>1.8474376417233557E-2</v>
      </c>
      <c r="F12" s="2">
        <f t="shared" si="9"/>
        <v>2.6367346938775512E-2</v>
      </c>
      <c r="G12" s="2">
        <f t="shared" si="9"/>
        <v>1.5165532879818594E-3</v>
      </c>
      <c r="H12" s="2">
        <f t="shared" si="9"/>
        <v>0.25023129251700676</v>
      </c>
      <c r="I12" s="2">
        <f t="shared" si="9"/>
        <v>3.8603174603174606E-3</v>
      </c>
      <c r="J12" s="2">
        <f t="shared" si="9"/>
        <v>4.4945124716553278E-2</v>
      </c>
      <c r="K12" s="2">
        <f t="shared" si="9"/>
        <v>5.1700680272108836E-3</v>
      </c>
      <c r="L12" s="2">
        <f t="shared" si="9"/>
        <v>1.3063038548752834E-2</v>
      </c>
      <c r="M12" s="2">
        <f t="shared" si="9"/>
        <v>3.9292517006802715E-3</v>
      </c>
      <c r="N12" s="2">
        <f>((N2*7.6)/2205)+(N3*2)/2205</f>
        <v>5.5923809523809521E-2</v>
      </c>
      <c r="O12" s="2">
        <f>(O2*7.6)/2205</f>
        <v>0</v>
      </c>
      <c r="P12" s="2">
        <f>(P2*7.6)/2205</f>
        <v>0</v>
      </c>
      <c r="Q12" s="6">
        <f>(Q2*7.6)/2205</f>
        <v>0</v>
      </c>
      <c r="R12" s="47">
        <f t="shared" si="2"/>
        <v>0.39961179138321989</v>
      </c>
      <c r="S12" s="48">
        <f t="shared" si="3"/>
        <v>0.4594648526077097</v>
      </c>
    </row>
    <row r="13" spans="1:19" x14ac:dyDescent="0.35">
      <c r="A13" s="71" t="s">
        <v>40</v>
      </c>
      <c r="B13" s="2">
        <f t="shared" ref="B13:M13" si="10">(B2*2.3)/2205</f>
        <v>1.1265306122448979E-3</v>
      </c>
      <c r="C13" s="2">
        <f t="shared" si="10"/>
        <v>6.3210884353741489E-3</v>
      </c>
      <c r="D13" s="2">
        <f t="shared" si="10"/>
        <v>3.4421768707482989E-3</v>
      </c>
      <c r="E13" s="2">
        <f t="shared" si="10"/>
        <v>5.5909297052154196E-3</v>
      </c>
      <c r="F13" s="2">
        <f t="shared" si="10"/>
        <v>7.9795918367346931E-3</v>
      </c>
      <c r="G13" s="2">
        <f t="shared" si="10"/>
        <v>4.5895691609977324E-4</v>
      </c>
      <c r="H13" s="2">
        <f t="shared" si="10"/>
        <v>7.5727891156462571E-2</v>
      </c>
      <c r="I13" s="2">
        <f t="shared" si="10"/>
        <v>1.1682539682539683E-3</v>
      </c>
      <c r="J13" s="2">
        <f t="shared" si="10"/>
        <v>1.3601814058956914E-2</v>
      </c>
      <c r="K13" s="2">
        <f t="shared" si="10"/>
        <v>1.564625850340136E-3</v>
      </c>
      <c r="L13" s="2">
        <f t="shared" si="10"/>
        <v>3.9532879818594095E-3</v>
      </c>
      <c r="M13" s="2">
        <f t="shared" si="10"/>
        <v>1.1891156462585032E-3</v>
      </c>
      <c r="N13" s="2">
        <f>((N2*2.3)/2205)+(N3*0.052)/2205</f>
        <v>2.5219047619047617E-3</v>
      </c>
      <c r="O13" s="2">
        <f>(O2*2.3)/2205</f>
        <v>0</v>
      </c>
      <c r="P13" s="2">
        <f>(P2*2.3)/2205</f>
        <v>0</v>
      </c>
      <c r="Q13" s="6">
        <f>(Q2*2.3)/2205</f>
        <v>0</v>
      </c>
      <c r="R13" s="47">
        <f>(R2*2.3)/2205</f>
        <v>0.12093514739229026</v>
      </c>
      <c r="S13" s="49">
        <f>(S2*2.3)/2205</f>
        <v>0.12329251700680273</v>
      </c>
    </row>
    <row r="14" spans="1:19" x14ac:dyDescent="0.35">
      <c r="A14" s="71" t="s">
        <v>41</v>
      </c>
      <c r="B14" s="2">
        <f t="shared" ref="B14:M14" si="11">(B2*2.2)/2205</f>
        <v>1.0775510204081634E-3</v>
      </c>
      <c r="C14" s="2">
        <f t="shared" si="11"/>
        <v>6.0462585034013611E-3</v>
      </c>
      <c r="D14" s="2">
        <f t="shared" si="11"/>
        <v>3.2925170068027212E-3</v>
      </c>
      <c r="E14" s="2">
        <f t="shared" si="11"/>
        <v>5.3478458049886629E-3</v>
      </c>
      <c r="F14" s="2">
        <f t="shared" si="11"/>
        <v>7.6326530612244904E-3</v>
      </c>
      <c r="G14" s="2">
        <f t="shared" si="11"/>
        <v>4.3900226757369619E-4</v>
      </c>
      <c r="H14" s="2">
        <f t="shared" si="11"/>
        <v>7.2435374149659865E-2</v>
      </c>
      <c r="I14" s="2">
        <f t="shared" si="11"/>
        <v>1.1174603174603176E-3</v>
      </c>
      <c r="J14" s="2">
        <f t="shared" si="11"/>
        <v>1.3010430839002267E-2</v>
      </c>
      <c r="K14" s="2">
        <f t="shared" si="11"/>
        <v>1.4965986394557824E-3</v>
      </c>
      <c r="L14" s="2">
        <f t="shared" si="11"/>
        <v>3.7814058956916106E-3</v>
      </c>
      <c r="M14" s="2">
        <f t="shared" si="11"/>
        <v>1.1374149659863946E-3</v>
      </c>
      <c r="N14" s="2">
        <f>((N2*2.2)/2205)+(N3*0.26)/2205</f>
        <v>7.8857142857142858E-3</v>
      </c>
      <c r="O14" s="2">
        <f>(O2*2.2)/2205</f>
        <v>0</v>
      </c>
      <c r="P14" s="2">
        <f>(P2*2.2)/2205</f>
        <v>0</v>
      </c>
      <c r="Q14" s="6">
        <f>(Q2*2.2)/2205</f>
        <v>0</v>
      </c>
      <c r="R14" s="47">
        <f>(R2*2.2)/2205</f>
        <v>0.11567709750566896</v>
      </c>
      <c r="S14" s="49">
        <f>(S2*2.2)/2205</f>
        <v>0.11793197278911569</v>
      </c>
    </row>
    <row r="15" spans="1:19" ht="27" thickBot="1" x14ac:dyDescent="0.4">
      <c r="A15" s="72" t="s">
        <v>42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1">
        <v>0</v>
      </c>
      <c r="R15" s="50">
        <v>0</v>
      </c>
      <c r="S15" s="51">
        <v>0</v>
      </c>
    </row>
    <row r="16" spans="1:19" ht="15" thickTop="1" x14ac:dyDescent="0.35">
      <c r="A16" s="73" t="s">
        <v>25</v>
      </c>
      <c r="B16" s="36">
        <v>281996</v>
      </c>
      <c r="C16" s="19">
        <v>10895</v>
      </c>
      <c r="D16" s="18">
        <v>0</v>
      </c>
      <c r="E16" s="19">
        <v>1144000</v>
      </c>
      <c r="F16" s="19">
        <v>708000</v>
      </c>
      <c r="G16" s="19">
        <v>354275</v>
      </c>
      <c r="H16" s="19">
        <v>1148400</v>
      </c>
      <c r="I16" s="19">
        <v>123600</v>
      </c>
      <c r="J16" s="19">
        <v>996366</v>
      </c>
      <c r="K16" s="19">
        <v>71000</v>
      </c>
      <c r="L16" s="19">
        <v>70000</v>
      </c>
      <c r="M16" s="19">
        <v>75000</v>
      </c>
      <c r="N16" s="19">
        <v>75000</v>
      </c>
      <c r="O16" s="19">
        <v>7500</v>
      </c>
      <c r="P16" s="19">
        <v>37500</v>
      </c>
      <c r="Q16" s="33">
        <v>126803</v>
      </c>
      <c r="R16" s="54">
        <f>SUM(B16:L16)</f>
        <v>4908532</v>
      </c>
      <c r="S16" s="55">
        <f>SUM(B16:Q16)</f>
        <v>5230335</v>
      </c>
    </row>
    <row r="17" spans="1:19" x14ac:dyDescent="0.35">
      <c r="A17" s="75" t="s">
        <v>44</v>
      </c>
      <c r="B17" s="2">
        <f t="shared" ref="B17:S17" si="12">B16*0.9</f>
        <v>253796.4</v>
      </c>
      <c r="C17" s="2">
        <f t="shared" si="12"/>
        <v>9805.5</v>
      </c>
      <c r="D17" s="2">
        <f t="shared" si="12"/>
        <v>0</v>
      </c>
      <c r="E17" s="2">
        <f t="shared" si="12"/>
        <v>1029600</v>
      </c>
      <c r="F17" s="2">
        <f t="shared" si="12"/>
        <v>637200</v>
      </c>
      <c r="G17" s="2">
        <f t="shared" si="12"/>
        <v>318847.5</v>
      </c>
      <c r="H17" s="2">
        <f t="shared" si="12"/>
        <v>1033560</v>
      </c>
      <c r="I17" s="2">
        <f t="shared" si="12"/>
        <v>111240</v>
      </c>
      <c r="J17" s="2">
        <f t="shared" si="12"/>
        <v>896729.4</v>
      </c>
      <c r="K17" s="2">
        <f t="shared" si="12"/>
        <v>63900</v>
      </c>
      <c r="L17" s="2">
        <f t="shared" si="12"/>
        <v>63000</v>
      </c>
      <c r="M17" s="2">
        <f t="shared" si="12"/>
        <v>67500</v>
      </c>
      <c r="N17" s="2">
        <f t="shared" si="12"/>
        <v>67500</v>
      </c>
      <c r="O17" s="2">
        <f t="shared" si="12"/>
        <v>6750</v>
      </c>
      <c r="P17" s="2">
        <f t="shared" si="12"/>
        <v>33750</v>
      </c>
      <c r="Q17" s="6">
        <f t="shared" si="12"/>
        <v>114122.7</v>
      </c>
      <c r="R17" s="56">
        <f t="shared" si="12"/>
        <v>4417678.8</v>
      </c>
      <c r="S17" s="57">
        <f t="shared" si="12"/>
        <v>4707301.5</v>
      </c>
    </row>
    <row r="18" spans="1:19" ht="15" thickBot="1" x14ac:dyDescent="0.4">
      <c r="A18" s="74" t="s">
        <v>43</v>
      </c>
      <c r="B18" s="12" t="s">
        <v>17</v>
      </c>
      <c r="C18" s="12" t="s">
        <v>17</v>
      </c>
      <c r="D18" s="12" t="s">
        <v>17</v>
      </c>
      <c r="E18" s="12" t="s">
        <v>17</v>
      </c>
      <c r="F18" s="12" t="s">
        <v>17</v>
      </c>
      <c r="G18" s="12" t="s">
        <v>17</v>
      </c>
      <c r="H18" s="12" t="s">
        <v>17</v>
      </c>
      <c r="I18" s="12" t="s">
        <v>17</v>
      </c>
      <c r="J18" s="12" t="s">
        <v>17</v>
      </c>
      <c r="K18" s="12" t="s">
        <v>17</v>
      </c>
      <c r="L18" s="12" t="s">
        <v>17</v>
      </c>
      <c r="M18" s="12" t="s">
        <v>17</v>
      </c>
      <c r="N18" s="12" t="s">
        <v>17</v>
      </c>
      <c r="O18" s="12" t="s">
        <v>17</v>
      </c>
      <c r="P18" s="12" t="s">
        <v>17</v>
      </c>
      <c r="Q18" s="13" t="s">
        <v>17</v>
      </c>
      <c r="R18" s="52" t="s">
        <v>17</v>
      </c>
      <c r="S18" s="53" t="s">
        <v>17</v>
      </c>
    </row>
    <row r="19" spans="1:19" ht="27" thickTop="1" x14ac:dyDescent="0.35">
      <c r="A19" s="73" t="s">
        <v>28</v>
      </c>
      <c r="B19" s="28">
        <v>269760</v>
      </c>
      <c r="C19" s="29">
        <v>323237</v>
      </c>
      <c r="D19" s="29">
        <v>2097900</v>
      </c>
      <c r="E19" s="29">
        <v>1006731</v>
      </c>
      <c r="F19" s="29">
        <v>1465837</v>
      </c>
      <c r="G19" s="29">
        <v>2659200</v>
      </c>
      <c r="H19" s="29">
        <v>4878958</v>
      </c>
      <c r="I19" s="29">
        <v>787280</v>
      </c>
      <c r="J19" s="29">
        <v>1327080</v>
      </c>
      <c r="K19" s="29">
        <v>316460</v>
      </c>
      <c r="L19" s="29">
        <v>247711</v>
      </c>
      <c r="M19" s="29">
        <v>464751</v>
      </c>
      <c r="N19" s="29">
        <v>471610</v>
      </c>
      <c r="O19" s="29">
        <v>20850</v>
      </c>
      <c r="P19" s="29">
        <v>747188</v>
      </c>
      <c r="Q19" s="34">
        <v>197340</v>
      </c>
      <c r="R19" s="58">
        <f>SUM(B19:L19)</f>
        <v>15380154</v>
      </c>
      <c r="S19" s="59">
        <f>SUM(B19:Q19)</f>
        <v>17281893</v>
      </c>
    </row>
    <row r="20" spans="1:19" ht="27" thickBot="1" x14ac:dyDescent="0.4">
      <c r="A20" s="74" t="s">
        <v>19</v>
      </c>
      <c r="B20" s="14" t="s">
        <v>17</v>
      </c>
      <c r="C20" s="14" t="s">
        <v>17</v>
      </c>
      <c r="D20" s="14" t="s">
        <v>17</v>
      </c>
      <c r="E20" s="14" t="s">
        <v>17</v>
      </c>
      <c r="F20" s="14" t="s">
        <v>17</v>
      </c>
      <c r="G20" s="14" t="s">
        <v>17</v>
      </c>
      <c r="H20" s="14" t="s">
        <v>17</v>
      </c>
      <c r="I20" s="14" t="s">
        <v>17</v>
      </c>
      <c r="J20" s="14" t="s">
        <v>17</v>
      </c>
      <c r="K20" s="14" t="s">
        <v>17</v>
      </c>
      <c r="L20" s="14" t="s">
        <v>17</v>
      </c>
      <c r="M20" s="14" t="s">
        <v>17</v>
      </c>
      <c r="N20" s="14" t="s">
        <v>17</v>
      </c>
      <c r="O20" s="14" t="s">
        <v>17</v>
      </c>
      <c r="P20" s="14" t="s">
        <v>17</v>
      </c>
      <c r="Q20" s="15" t="s">
        <v>17</v>
      </c>
      <c r="R20" s="60" t="s">
        <v>17</v>
      </c>
      <c r="S20" s="61" t="s">
        <v>17</v>
      </c>
    </row>
    <row r="21" spans="1:19" ht="27.5" thickTop="1" thickBot="1" x14ac:dyDescent="0.4">
      <c r="A21" s="76" t="s">
        <v>48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6" t="s">
        <v>18</v>
      </c>
      <c r="L21" s="16" t="s">
        <v>18</v>
      </c>
      <c r="M21" s="16" t="s">
        <v>18</v>
      </c>
      <c r="N21" s="16" t="s">
        <v>18</v>
      </c>
      <c r="O21" s="16" t="s">
        <v>18</v>
      </c>
      <c r="P21" s="16" t="s">
        <v>18</v>
      </c>
      <c r="Q21" s="17" t="s">
        <v>18</v>
      </c>
      <c r="R21" s="62" t="s">
        <v>18</v>
      </c>
      <c r="S21" s="63" t="s">
        <v>18</v>
      </c>
    </row>
    <row r="22" spans="1:19" ht="27" thickTop="1" x14ac:dyDescent="0.35">
      <c r="A22" s="73" t="s">
        <v>26</v>
      </c>
      <c r="B22" s="77">
        <v>0.7</v>
      </c>
      <c r="C22" s="82">
        <v>3.72</v>
      </c>
      <c r="D22" s="82">
        <v>3.52</v>
      </c>
      <c r="E22" s="25">
        <v>14.266</v>
      </c>
      <c r="F22" s="25">
        <v>7.29</v>
      </c>
      <c r="G22" s="82">
        <v>0</v>
      </c>
      <c r="H22" s="25">
        <v>107.61</v>
      </c>
      <c r="I22" s="25">
        <v>0.02</v>
      </c>
      <c r="J22" s="82">
        <v>0</v>
      </c>
      <c r="K22" s="25">
        <v>2800</v>
      </c>
      <c r="L22" s="25">
        <v>0</v>
      </c>
      <c r="M22" s="21"/>
      <c r="N22" s="82">
        <v>0.68</v>
      </c>
      <c r="O22" s="82">
        <v>0</v>
      </c>
      <c r="P22" s="21"/>
      <c r="Q22" s="39">
        <v>0</v>
      </c>
      <c r="R22" s="64">
        <f>SUM(B22:L22)</f>
        <v>2937.1260000000002</v>
      </c>
      <c r="S22" s="65">
        <f>SUM(B22:Q22)</f>
        <v>2937.806</v>
      </c>
    </row>
    <row r="23" spans="1:19" ht="26.5" x14ac:dyDescent="0.35">
      <c r="A23" s="75" t="s">
        <v>27</v>
      </c>
      <c r="B23" s="78">
        <v>100</v>
      </c>
      <c r="C23" s="78">
        <v>100</v>
      </c>
      <c r="D23" s="78">
        <v>100</v>
      </c>
      <c r="E23" s="26">
        <v>100</v>
      </c>
      <c r="F23" s="26">
        <v>100</v>
      </c>
      <c r="G23" s="78">
        <v>0</v>
      </c>
      <c r="H23" s="26">
        <v>100</v>
      </c>
      <c r="I23" s="26">
        <v>100</v>
      </c>
      <c r="J23" s="78" t="s">
        <v>17</v>
      </c>
      <c r="K23" s="26">
        <v>100</v>
      </c>
      <c r="L23" s="26" t="s">
        <v>17</v>
      </c>
      <c r="M23" s="22"/>
      <c r="N23" s="78">
        <v>100</v>
      </c>
      <c r="O23" s="78" t="s">
        <v>17</v>
      </c>
      <c r="P23" s="22"/>
      <c r="Q23" s="37" t="s">
        <v>17</v>
      </c>
      <c r="R23" s="66">
        <v>100</v>
      </c>
      <c r="S23" s="67">
        <v>100</v>
      </c>
    </row>
    <row r="24" spans="1:19" ht="26.5" x14ac:dyDescent="0.35">
      <c r="A24" s="75" t="s">
        <v>24</v>
      </c>
      <c r="B24" s="79">
        <v>0</v>
      </c>
      <c r="C24" s="78">
        <v>0</v>
      </c>
      <c r="D24" s="78">
        <v>0</v>
      </c>
      <c r="E24" s="26">
        <v>0</v>
      </c>
      <c r="F24" s="26">
        <v>0</v>
      </c>
      <c r="G24" s="78">
        <v>0</v>
      </c>
      <c r="H24" s="26">
        <v>0</v>
      </c>
      <c r="I24" s="26">
        <v>0</v>
      </c>
      <c r="J24" s="78" t="s">
        <v>17</v>
      </c>
      <c r="K24" s="26">
        <v>0</v>
      </c>
      <c r="L24" s="26" t="s">
        <v>17</v>
      </c>
      <c r="M24" s="22"/>
      <c r="N24" s="78">
        <v>0</v>
      </c>
      <c r="O24" s="78" t="s">
        <v>17</v>
      </c>
      <c r="P24" s="22"/>
      <c r="Q24" s="37" t="s">
        <v>17</v>
      </c>
      <c r="R24" s="66">
        <f>SUM(B24:L24)</f>
        <v>0</v>
      </c>
      <c r="S24" s="67">
        <f t="shared" ref="S24" si="13">SUM(B24:Q24)</f>
        <v>0</v>
      </c>
    </row>
    <row r="25" spans="1:19" ht="39.5" x14ac:dyDescent="0.35">
      <c r="A25" s="75" t="s">
        <v>23</v>
      </c>
      <c r="B25" s="79">
        <f>SUM(B26:B28)</f>
        <v>13.77</v>
      </c>
      <c r="C25" s="79">
        <f t="shared" ref="C25:D25" si="14">SUM(C26:C28)</f>
        <v>262.52</v>
      </c>
      <c r="D25" s="79">
        <f t="shared" si="14"/>
        <v>650.79999999999995</v>
      </c>
      <c r="E25" s="23">
        <f t="shared" ref="C25:Q25" si="15">SUM(E26:E28)</f>
        <v>1039.42</v>
      </c>
      <c r="F25" s="23">
        <f t="shared" si="15"/>
        <v>1163.02</v>
      </c>
      <c r="G25" s="79">
        <f t="shared" si="15"/>
        <v>260</v>
      </c>
      <c r="H25" s="23">
        <f t="shared" si="15"/>
        <v>962.67</v>
      </c>
      <c r="I25" s="23">
        <f t="shared" si="15"/>
        <v>299.92</v>
      </c>
      <c r="J25" s="79">
        <f t="shared" si="15"/>
        <v>250.88</v>
      </c>
      <c r="K25" s="23">
        <f t="shared" si="15"/>
        <v>53.695999999999998</v>
      </c>
      <c r="L25" s="23">
        <f t="shared" si="15"/>
        <v>105.535</v>
      </c>
      <c r="M25" s="79">
        <f t="shared" si="15"/>
        <v>0</v>
      </c>
      <c r="N25" s="79">
        <f t="shared" si="15"/>
        <v>129.73999999999998</v>
      </c>
      <c r="O25" s="79">
        <f t="shared" si="15"/>
        <v>0</v>
      </c>
      <c r="P25" s="79">
        <f t="shared" si="15"/>
        <v>0</v>
      </c>
      <c r="Q25" s="23">
        <f t="shared" si="15"/>
        <v>47.42</v>
      </c>
      <c r="R25" s="66">
        <f>SUM(B25:L25)</f>
        <v>5062.2309999999998</v>
      </c>
      <c r="S25" s="67">
        <f>SUM(B25:Q25)</f>
        <v>5239.3909999999996</v>
      </c>
    </row>
    <row r="26" spans="1:19" ht="39.5" x14ac:dyDescent="0.35">
      <c r="A26" s="75" t="s">
        <v>31</v>
      </c>
      <c r="B26" s="78">
        <v>11.34</v>
      </c>
      <c r="C26" s="78">
        <v>217</v>
      </c>
      <c r="D26" s="78">
        <v>89.16</v>
      </c>
      <c r="E26" s="26">
        <v>19.72</v>
      </c>
      <c r="F26" s="26">
        <v>147.02000000000001</v>
      </c>
      <c r="G26" s="78">
        <v>200</v>
      </c>
      <c r="H26" s="26">
        <v>738</v>
      </c>
      <c r="I26" s="26">
        <v>131</v>
      </c>
      <c r="J26" s="78">
        <v>240</v>
      </c>
      <c r="K26" s="26">
        <v>50</v>
      </c>
      <c r="L26" s="26">
        <v>100</v>
      </c>
      <c r="M26" s="22"/>
      <c r="N26" s="78">
        <v>74.739999999999995</v>
      </c>
      <c r="O26" s="22"/>
      <c r="P26" s="22"/>
      <c r="Q26" s="37">
        <v>6</v>
      </c>
      <c r="R26" s="66"/>
      <c r="S26" s="67">
        <f>SUM(B26:Q26)</f>
        <v>2023.98</v>
      </c>
    </row>
    <row r="27" spans="1:19" ht="39.5" x14ac:dyDescent="0.35">
      <c r="A27" s="70" t="s">
        <v>29</v>
      </c>
      <c r="B27" s="80">
        <v>0.16</v>
      </c>
      <c r="C27" s="80">
        <v>20.52</v>
      </c>
      <c r="D27" s="80">
        <v>4.22</v>
      </c>
      <c r="E27" s="31">
        <v>0</v>
      </c>
      <c r="F27" s="31">
        <v>0</v>
      </c>
      <c r="G27" s="80" t="s">
        <v>17</v>
      </c>
      <c r="H27" s="31">
        <v>0.18</v>
      </c>
      <c r="I27" s="31">
        <v>0.02</v>
      </c>
      <c r="J27" s="80">
        <v>0</v>
      </c>
      <c r="K27" s="31">
        <v>3.6960000000000002</v>
      </c>
      <c r="L27" s="31">
        <v>4.5350000000000001</v>
      </c>
      <c r="M27" s="30"/>
      <c r="N27" s="80">
        <v>22.68</v>
      </c>
      <c r="O27" s="80" t="s">
        <v>17</v>
      </c>
      <c r="P27" s="30"/>
      <c r="Q27" s="38">
        <v>0</v>
      </c>
      <c r="R27" s="68"/>
      <c r="S27" s="67"/>
    </row>
    <row r="28" spans="1:19" ht="27" thickBot="1" x14ac:dyDescent="0.4">
      <c r="A28" s="74" t="s">
        <v>30</v>
      </c>
      <c r="B28" s="81">
        <v>2.27</v>
      </c>
      <c r="C28" s="81">
        <v>25</v>
      </c>
      <c r="D28" s="83">
        <v>557.41999999999996</v>
      </c>
      <c r="E28" s="32">
        <v>1019.7</v>
      </c>
      <c r="F28" s="32">
        <v>1016</v>
      </c>
      <c r="G28" s="81">
        <v>60</v>
      </c>
      <c r="H28" s="32">
        <v>224.49</v>
      </c>
      <c r="I28" s="32">
        <v>168.9</v>
      </c>
      <c r="J28" s="81">
        <v>10.88</v>
      </c>
      <c r="K28" s="32">
        <v>0</v>
      </c>
      <c r="L28" s="32">
        <v>1</v>
      </c>
      <c r="M28" s="24"/>
      <c r="N28" s="81">
        <v>32.32</v>
      </c>
      <c r="O28" s="24"/>
      <c r="P28" s="24"/>
      <c r="Q28" s="40">
        <v>41.42</v>
      </c>
      <c r="R28" s="60"/>
      <c r="S28" s="69">
        <f>SUM(B28:Q28)</f>
        <v>3159.4000000000005</v>
      </c>
    </row>
    <row r="29" spans="1:19" ht="15" thickTop="1" x14ac:dyDescent="0.35">
      <c r="A29" s="1"/>
    </row>
    <row r="30" spans="1:19" x14ac:dyDescent="0.35">
      <c r="A30" s="1"/>
    </row>
    <row r="31" spans="1:19" x14ac:dyDescent="0.35">
      <c r="A31" s="1"/>
    </row>
    <row r="47" spans="2:2" x14ac:dyDescent="0.35">
      <c r="B47" s="20"/>
    </row>
    <row r="57" spans="2:2" x14ac:dyDescent="0.35">
      <c r="B57" s="9"/>
    </row>
    <row r="60" spans="2:2" x14ac:dyDescent="0.35">
      <c r="B60" s="20"/>
    </row>
  </sheetData>
  <phoneticPr fontId="4" type="noConversion"/>
  <pageMargins left="0.2" right="0.2" top="0.25" bottom="0.2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B58A7E72E054409F2C463E19BA1040" ma:contentTypeVersion="15" ma:contentTypeDescription="Create a new document." ma:contentTypeScope="" ma:versionID="4dad34da1ed0bb19060afb43f52ecc0b">
  <xsd:schema xmlns:xsd="http://www.w3.org/2001/XMLSchema" xmlns:xs="http://www.w3.org/2001/XMLSchema" xmlns:p="http://schemas.microsoft.com/office/2006/metadata/properties" xmlns:ns3="5c885af2-2e67-43a6-94e4-1f4069da5179" xmlns:ns4="ab0d9809-f1da-49a4-9713-2dedba954ced" targetNamespace="http://schemas.microsoft.com/office/2006/metadata/properties" ma:root="true" ma:fieldsID="a0c7a3dbfb93202c0682a269aacebd21" ns3:_="" ns4:_="">
    <xsd:import namespace="5c885af2-2e67-43a6-94e4-1f4069da5179"/>
    <xsd:import namespace="ab0d9809-f1da-49a4-9713-2dedba954ce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85af2-2e67-43a6-94e4-1f4069da517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d9809-f1da-49a4-9713-2dedba954c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BBFCA2-BDC9-47B9-9D48-84A4841AC1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885af2-2e67-43a6-94e4-1f4069da5179"/>
    <ds:schemaRef ds:uri="ab0d9809-f1da-49a4-9713-2dedba954c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211EFF-24BB-43A9-B608-54E305E226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3765A6-6E3C-4CAA-92B2-76CDC441BDEA}">
  <ds:schemaRefs>
    <ds:schemaRef ds:uri="http://purl.org/dc/terms/"/>
    <ds:schemaRef ds:uri="ab0d9809-f1da-49a4-9713-2dedba954ced"/>
    <ds:schemaRef ds:uri="http://schemas.openxmlformats.org/package/2006/metadata/core-properties"/>
    <ds:schemaRef ds:uri="http://purl.org/dc/dcmitype/"/>
    <ds:schemaRef ds:uri="5c885af2-2e67-43a6-94e4-1f4069da5179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Env plant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Marine, John</dc:creator>
  <cp:lastModifiedBy>Marine, John</cp:lastModifiedBy>
  <cp:lastPrinted>2020-02-07T01:41:40Z</cp:lastPrinted>
  <dcterms:created xsi:type="dcterms:W3CDTF">2020-02-02T00:03:20Z</dcterms:created>
  <dcterms:modified xsi:type="dcterms:W3CDTF">2020-07-24T14:23:02Z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0x0101009BB58A7E72E054409F2C463E19BA1040</vt:lpwstr>
  </property>
</Properties>
</file>