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secorporation-my.sharepoint.com/personal/jmarine_chasecorp_com/Documents/ISS Corporate/2021/"/>
    </mc:Choice>
  </mc:AlternateContent>
  <xr:revisionPtr revIDLastSave="0" documentId="8_{19DFF865-80BB-4462-8A9F-39B1DF8E6911}" xr6:coauthVersionLast="46" xr6:coauthVersionMax="46" xr10:uidLastSave="{00000000-0000-0000-0000-000000000000}"/>
  <bookViews>
    <workbookView xWindow="-110" yWindow="-110" windowWidth="19420" windowHeight="10420" xr2:uid="{2EBC3102-6253-40FD-908C-890FC8765FC2}"/>
  </bookViews>
  <sheets>
    <sheet name="Env plant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N6" i="1" l="1"/>
  <c r="C6" i="1"/>
  <c r="D6" i="1"/>
  <c r="E6" i="1"/>
  <c r="F6" i="1"/>
  <c r="G6" i="1"/>
  <c r="H6" i="1"/>
  <c r="I6" i="1"/>
  <c r="J6" i="1"/>
  <c r="K6" i="1"/>
  <c r="L6" i="1"/>
  <c r="M6" i="1"/>
  <c r="O6" i="1"/>
  <c r="P6" i="1"/>
  <c r="Q6" i="1"/>
  <c r="B6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1" i="1"/>
  <c r="S21" i="1" l="1"/>
  <c r="R21" i="1"/>
  <c r="S30" i="1"/>
  <c r="R30" i="1"/>
  <c r="S29" i="1"/>
  <c r="R29" i="1"/>
  <c r="S28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R26" i="1"/>
  <c r="S24" i="1"/>
  <c r="R24" i="1"/>
  <c r="R20" i="1"/>
  <c r="Q17" i="1"/>
  <c r="Q18" i="1" s="1"/>
  <c r="P17" i="1"/>
  <c r="P18" i="1" s="1"/>
  <c r="O17" i="1"/>
  <c r="O18" i="1" s="1"/>
  <c r="N17" i="1"/>
  <c r="N18" i="1" s="1"/>
  <c r="M17" i="1"/>
  <c r="M18" i="1" s="1"/>
  <c r="L17" i="1"/>
  <c r="L18" i="1" s="1"/>
  <c r="K17" i="1"/>
  <c r="K18" i="1" s="1"/>
  <c r="J17" i="1"/>
  <c r="J18" i="1" s="1"/>
  <c r="I17" i="1"/>
  <c r="I18" i="1" s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B17" i="1"/>
  <c r="B18" i="1" s="1"/>
  <c r="S16" i="1"/>
  <c r="S17" i="1" s="1"/>
  <c r="R16" i="1"/>
  <c r="R17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O11" i="1"/>
  <c r="L11" i="1"/>
  <c r="K11" i="1"/>
  <c r="J11" i="1"/>
  <c r="I11" i="1"/>
  <c r="G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R9" i="1"/>
  <c r="Q8" i="1"/>
  <c r="P8" i="1"/>
  <c r="O8" i="1"/>
  <c r="N8" i="1"/>
  <c r="M8" i="1"/>
  <c r="L8" i="1"/>
  <c r="K8" i="1"/>
  <c r="J8" i="1"/>
  <c r="I8" i="1"/>
  <c r="H8" i="1"/>
  <c r="G8" i="1"/>
  <c r="F8" i="1"/>
  <c r="F11" i="1" s="1"/>
  <c r="E8" i="1"/>
  <c r="E11" i="1" s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4" i="1"/>
  <c r="R4" i="1"/>
  <c r="S3" i="1"/>
  <c r="S2" i="1"/>
  <c r="S14" i="1" s="1"/>
  <c r="R2" i="1"/>
  <c r="R7" i="1" s="1"/>
  <c r="S18" i="1" l="1"/>
  <c r="R18" i="1"/>
  <c r="S11" i="1"/>
  <c r="S10" i="1"/>
  <c r="S12" i="1"/>
  <c r="R12" i="1"/>
  <c r="R5" i="1"/>
  <c r="S7" i="1"/>
  <c r="S27" i="1"/>
  <c r="R8" i="1"/>
  <c r="R11" i="1"/>
  <c r="S6" i="1"/>
  <c r="S5" i="1"/>
  <c r="S8" i="1"/>
  <c r="R27" i="1"/>
  <c r="R13" i="1"/>
  <c r="R6" i="1"/>
  <c r="R10" i="1"/>
  <c r="S13" i="1"/>
  <c r="R14" i="1"/>
</calcChain>
</file>

<file path=xl/sharedStrings.xml><?xml version="1.0" encoding="utf-8"?>
<sst xmlns="http://schemas.openxmlformats.org/spreadsheetml/2006/main" count="111" uniqueCount="50">
  <si>
    <t>Woburn</t>
  </si>
  <si>
    <t>Oxford</t>
  </si>
  <si>
    <t>Zeta</t>
  </si>
  <si>
    <t>Blawnox</t>
  </si>
  <si>
    <t>Hickory</t>
  </si>
  <si>
    <t>Lenoir</t>
  </si>
  <si>
    <t>Greenville</t>
  </si>
  <si>
    <t>Evanston</t>
  </si>
  <si>
    <t>Houston</t>
  </si>
  <si>
    <t>Newark</t>
  </si>
  <si>
    <t>Winnersh</t>
  </si>
  <si>
    <t>Rye</t>
  </si>
  <si>
    <t>France</t>
  </si>
  <si>
    <t>India</t>
  </si>
  <si>
    <t>Suzhou</t>
  </si>
  <si>
    <t>Total US</t>
  </si>
  <si>
    <t>Total company</t>
  </si>
  <si>
    <t>N/A</t>
  </si>
  <si>
    <t>None</t>
  </si>
  <si>
    <t>WW/Admin</t>
  </si>
  <si>
    <t>Metric tons VOC emissions (solvent use facility emissions)</t>
  </si>
  <si>
    <t>Total Metric tons NonHazardous Waste generated</t>
  </si>
  <si>
    <t>% Hazardous Waste landfilled</t>
  </si>
  <si>
    <t>Town water usage (gal)</t>
  </si>
  <si>
    <t>Metric tons Hazardous Waste generated</t>
  </si>
  <si>
    <t>% Hazardous waste incinerated / recycled</t>
  </si>
  <si>
    <t>Electricity usage from Grid (kWh)</t>
  </si>
  <si>
    <t>Metric tons NonHazardous Waste from manifests (incineration /solidification)</t>
  </si>
  <si>
    <t>Metric tons NonHazardous Waste recycled</t>
  </si>
  <si>
    <t>Metric tons NonHazardous Waste landfilled (trash, NonHaz)</t>
  </si>
  <si>
    <t>Natural gas usage (MMCF)</t>
  </si>
  <si>
    <t>Metric tons NOX emissions</t>
  </si>
  <si>
    <t>Metric tons CO emissions</t>
  </si>
  <si>
    <t>Metric tons VOC emissions</t>
  </si>
  <si>
    <t>SOX emissions</t>
  </si>
  <si>
    <t>Metric tons HAP emissions</t>
  </si>
  <si>
    <t>Metric tons PM emissions</t>
  </si>
  <si>
    <t>Metric tons CH4 emissions</t>
  </si>
  <si>
    <t>Metric tons N2O emissions</t>
  </si>
  <si>
    <t>Metric tons Fluorinated Hydrocarbon emissions</t>
  </si>
  <si>
    <t>Water recycled (gal)</t>
  </si>
  <si>
    <t>Wastewater discharge (gal)</t>
  </si>
  <si>
    <t>Diesel and Kerosene (MGal)</t>
  </si>
  <si>
    <t>Accidental environmental releases last 3 years</t>
  </si>
  <si>
    <t xml:space="preserve">Chase Corp calendar 2020 </t>
  </si>
  <si>
    <t>Employee count 2020 year avg.</t>
  </si>
  <si>
    <t xml:space="preserve">Metric tons Scope 2 CO2e emissions, electricity </t>
  </si>
  <si>
    <t>Metric tons Scope 1 CO2e emissions, Fossil fuels</t>
  </si>
  <si>
    <t>Electricity usage from other than Grid (renewable sources)</t>
  </si>
  <si>
    <t>Town W/W discharge per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</si>
</sst>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1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8" fillId="0" borderId="6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4" fillId="0" borderId="0" xfId="0" applyFont="1" applyFill="1"/>
    <xf numFmtId="0" fontId="9" fillId="0" borderId="27" xfId="0" applyFont="1" applyBorder="1" applyAlignment="1">
      <alignment wrapText="1"/>
    </xf>
    <xf numFmtId="3" fontId="3" fillId="0" borderId="26" xfId="0" applyNumberFormat="1" applyFont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3" fontId="8" fillId="0" borderId="32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25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</cellXfs>
  <cellStyles count="2">
    <cellStyle name="Normal" xfId="0" builtinId="0"/>
    <cellStyle name="Normal 2" xfId="1" xr:uid="{82CBAAC3-F3B5-441E-BA17-D05F0807EA82}"/>
  </cellStyles>
  <dxfs count="0"/>
  <tableStyles count="0" defaultTableStyle="TableStyleMedium2" defaultPivotStyle="PivotStyleLight16"/>
  <colors>
    <mruColors>
      <color rgb="FFCC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49B4-B1DF-4284-A770-A8197089BA3A}">
  <sheetPr>
    <tabColor rgb="FFFFFF00"/>
  </sheetPr>
  <dimension ref="A1:T31"/>
  <sheetViews>
    <sheetView showGridLines="0" tabSelected="1" zoomScale="75" zoomScaleNormal="75" workbookViewId="0">
      <pane ySplit="1" topLeftCell="A2" activePane="bottomLeft" state="frozen"/>
      <selection pane="bottomLeft" activeCell="E1" sqref="E1"/>
    </sheetView>
  </sheetViews>
  <sheetFormatPr defaultColWidth="8.81640625" defaultRowHeight="14.5" x14ac:dyDescent="0.35"/>
  <cols>
    <col min="1" max="1" width="23.453125" customWidth="1"/>
    <col min="2" max="2" width="9.1796875" customWidth="1"/>
    <col min="9" max="9" width="9.81640625" customWidth="1"/>
    <col min="13" max="13" width="9.36328125" customWidth="1"/>
    <col min="18" max="18" width="10.36328125" customWidth="1"/>
    <col min="19" max="19" width="10.90625" customWidth="1"/>
    <col min="20" max="20" width="8.6328125" style="2"/>
  </cols>
  <sheetData>
    <row r="1" spans="1:20" ht="29.5" thickTop="1" x14ac:dyDescent="0.35">
      <c r="A1" s="13" t="s">
        <v>44</v>
      </c>
      <c r="B1" s="14" t="s">
        <v>19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6" t="s">
        <v>14</v>
      </c>
      <c r="R1" s="17" t="s">
        <v>15</v>
      </c>
      <c r="S1" s="18" t="s">
        <v>16</v>
      </c>
    </row>
    <row r="2" spans="1:20" x14ac:dyDescent="0.35">
      <c r="A2" s="20" t="s">
        <v>30</v>
      </c>
      <c r="B2" s="36">
        <v>1.34</v>
      </c>
      <c r="C2" s="35">
        <v>0.46</v>
      </c>
      <c r="D2" s="35">
        <v>2.93</v>
      </c>
      <c r="E2" s="35">
        <v>4.2699999999999996</v>
      </c>
      <c r="F2" s="35">
        <v>8.1999999999999993</v>
      </c>
      <c r="G2" s="35">
        <v>2.1</v>
      </c>
      <c r="H2" s="35">
        <v>55.4</v>
      </c>
      <c r="I2" s="35">
        <v>1.33</v>
      </c>
      <c r="J2" s="35">
        <v>9.66</v>
      </c>
      <c r="K2" s="35">
        <v>1.8</v>
      </c>
      <c r="L2" s="35">
        <v>0.32</v>
      </c>
      <c r="M2" s="35">
        <v>1.1599999999999999</v>
      </c>
      <c r="N2" s="35">
        <v>0</v>
      </c>
      <c r="O2" s="4">
        <v>0</v>
      </c>
      <c r="P2" s="4">
        <v>0</v>
      </c>
      <c r="Q2" s="5">
        <v>0</v>
      </c>
      <c r="R2" s="45">
        <f>SUM(B2:L2)</f>
        <v>87.809999999999988</v>
      </c>
      <c r="S2" s="46">
        <f>SUM(B2:Q2)</f>
        <v>88.969999999999985</v>
      </c>
    </row>
    <row r="3" spans="1:20" x14ac:dyDescent="0.35">
      <c r="A3" s="20" t="s">
        <v>42</v>
      </c>
      <c r="B3" s="3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35">
        <v>50</v>
      </c>
      <c r="O3" s="4">
        <v>0</v>
      </c>
      <c r="P3" s="4">
        <v>0</v>
      </c>
      <c r="Q3" s="5">
        <v>0</v>
      </c>
      <c r="R3" s="45">
        <v>0</v>
      </c>
      <c r="S3" s="46">
        <f>N3</f>
        <v>50</v>
      </c>
    </row>
    <row r="4" spans="1:20" ht="26.5" x14ac:dyDescent="0.35">
      <c r="A4" s="20" t="s">
        <v>45</v>
      </c>
      <c r="B4" s="41">
        <v>89</v>
      </c>
      <c r="C4" s="39">
        <v>34</v>
      </c>
      <c r="D4" s="39">
        <v>73</v>
      </c>
      <c r="E4" s="39">
        <v>25</v>
      </c>
      <c r="F4" s="39">
        <v>28</v>
      </c>
      <c r="G4" s="39">
        <v>104</v>
      </c>
      <c r="H4" s="39">
        <v>116</v>
      </c>
      <c r="I4" s="39">
        <v>18</v>
      </c>
      <c r="J4" s="39">
        <v>27</v>
      </c>
      <c r="K4" s="39">
        <v>9</v>
      </c>
      <c r="L4" s="39">
        <v>12</v>
      </c>
      <c r="M4" s="39">
        <v>40</v>
      </c>
      <c r="N4" s="39">
        <v>30</v>
      </c>
      <c r="O4" s="39">
        <v>3</v>
      </c>
      <c r="P4" s="39">
        <v>16</v>
      </c>
      <c r="Q4" s="40">
        <v>46</v>
      </c>
      <c r="R4" s="47">
        <f>SUM(B4:L4)</f>
        <v>535</v>
      </c>
      <c r="S4" s="48">
        <f>SUM(B4:Q4)</f>
        <v>670</v>
      </c>
      <c r="T4" s="30"/>
    </row>
    <row r="5" spans="1:20" x14ac:dyDescent="0.35">
      <c r="A5" s="20" t="s">
        <v>31</v>
      </c>
      <c r="B5" s="3">
        <f t="shared" ref="B5:M5" si="0">(B2*100)/2205</f>
        <v>6.0770975056689346E-2</v>
      </c>
      <c r="C5" s="3">
        <f t="shared" si="0"/>
        <v>2.0861678004535148E-2</v>
      </c>
      <c r="D5" s="3">
        <f t="shared" si="0"/>
        <v>0.1328798185941043</v>
      </c>
      <c r="E5" s="3">
        <f t="shared" si="0"/>
        <v>0.19365079365079363</v>
      </c>
      <c r="F5" s="3">
        <f t="shared" si="0"/>
        <v>0.37188208616780039</v>
      </c>
      <c r="G5" s="3">
        <f t="shared" si="0"/>
        <v>9.5238095238095233E-2</v>
      </c>
      <c r="H5" s="3">
        <f t="shared" si="0"/>
        <v>2.512471655328798</v>
      </c>
      <c r="I5" s="3">
        <f t="shared" si="0"/>
        <v>6.0317460317460318E-2</v>
      </c>
      <c r="J5" s="3">
        <f t="shared" si="0"/>
        <v>0.43809523809523809</v>
      </c>
      <c r="K5" s="3">
        <f t="shared" si="0"/>
        <v>8.1632653061224483E-2</v>
      </c>
      <c r="L5" s="3">
        <f t="shared" si="0"/>
        <v>1.4512471655328799E-2</v>
      </c>
      <c r="M5" s="3">
        <f t="shared" si="0"/>
        <v>5.2607709750566889E-2</v>
      </c>
      <c r="N5" s="3">
        <f>((N2*100)/2205)+(N3*20)/2205</f>
        <v>0.45351473922902497</v>
      </c>
      <c r="O5" s="3">
        <f>(O2*100)/2205</f>
        <v>0</v>
      </c>
      <c r="P5" s="3">
        <f>(P2*100)/2205</f>
        <v>0</v>
      </c>
      <c r="Q5" s="6">
        <f>(Q2*100)/2205</f>
        <v>0</v>
      </c>
      <c r="R5" s="45">
        <f>SUM(B5:L5)</f>
        <v>3.982312925170068</v>
      </c>
      <c r="S5" s="46">
        <f>SUM(B5:Q5)</f>
        <v>4.4884353741496597</v>
      </c>
    </row>
    <row r="6" spans="1:20" ht="26.5" x14ac:dyDescent="0.35">
      <c r="A6" s="20" t="s">
        <v>47</v>
      </c>
      <c r="B6" s="3">
        <f>(B2*0.05487)*1000</f>
        <v>73.525800000000004</v>
      </c>
      <c r="C6" s="3">
        <f t="shared" ref="C6:Q6" si="1">(C2*0.05487)*1000</f>
        <v>25.240200000000002</v>
      </c>
      <c r="D6" s="3">
        <f t="shared" si="1"/>
        <v>160.76910000000004</v>
      </c>
      <c r="E6" s="3">
        <f t="shared" si="1"/>
        <v>234.29489999999998</v>
      </c>
      <c r="F6" s="3">
        <f t="shared" si="1"/>
        <v>449.93400000000003</v>
      </c>
      <c r="G6" s="3">
        <f t="shared" si="1"/>
        <v>115.227</v>
      </c>
      <c r="H6" s="3">
        <f t="shared" si="1"/>
        <v>3039.7980000000002</v>
      </c>
      <c r="I6" s="3">
        <f t="shared" si="1"/>
        <v>72.977100000000007</v>
      </c>
      <c r="J6" s="3">
        <f t="shared" si="1"/>
        <v>530.04420000000005</v>
      </c>
      <c r="K6" s="3">
        <f t="shared" si="1"/>
        <v>98.766000000000005</v>
      </c>
      <c r="L6" s="3">
        <f t="shared" si="1"/>
        <v>17.558400000000002</v>
      </c>
      <c r="M6" s="3">
        <f t="shared" si="1"/>
        <v>63.6492</v>
      </c>
      <c r="N6" s="3">
        <f>(N2*0.05487)*1000+(N3*0.00889)</f>
        <v>0.44450000000000001</v>
      </c>
      <c r="O6" s="3">
        <f t="shared" si="1"/>
        <v>0</v>
      </c>
      <c r="P6" s="3">
        <f t="shared" si="1"/>
        <v>0</v>
      </c>
      <c r="Q6" s="3">
        <f t="shared" si="1"/>
        <v>0</v>
      </c>
      <c r="R6" s="49">
        <f t="shared" ref="R6:R12" si="2">SUM(B6:L6)</f>
        <v>4818.1347000000005</v>
      </c>
      <c r="S6" s="50">
        <f t="shared" ref="S6:S12" si="3">SUM(B6:Q6)</f>
        <v>4882.2284</v>
      </c>
    </row>
    <row r="7" spans="1:20" x14ac:dyDescent="0.35">
      <c r="A7" s="20" t="s">
        <v>32</v>
      </c>
      <c r="B7" s="3">
        <f t="shared" ref="B7:M7" si="4">(B2*84)/2205</f>
        <v>5.104761904761905E-2</v>
      </c>
      <c r="C7" s="3">
        <f t="shared" si="4"/>
        <v>1.7523809523809525E-2</v>
      </c>
      <c r="D7" s="3">
        <f t="shared" si="4"/>
        <v>0.11161904761904762</v>
      </c>
      <c r="E7" s="3">
        <f t="shared" si="4"/>
        <v>0.16266666666666665</v>
      </c>
      <c r="F7" s="3">
        <f t="shared" si="4"/>
        <v>0.31238095238095237</v>
      </c>
      <c r="G7" s="3">
        <f t="shared" si="4"/>
        <v>0.08</v>
      </c>
      <c r="H7" s="3">
        <f t="shared" si="4"/>
        <v>2.1104761904761902</v>
      </c>
      <c r="I7" s="3">
        <f t="shared" si="4"/>
        <v>5.0666666666666665E-2</v>
      </c>
      <c r="J7" s="3">
        <f t="shared" si="4"/>
        <v>0.36800000000000005</v>
      </c>
      <c r="K7" s="3">
        <f t="shared" si="4"/>
        <v>6.8571428571428575E-2</v>
      </c>
      <c r="L7" s="3">
        <f t="shared" si="4"/>
        <v>1.2190476190476191E-2</v>
      </c>
      <c r="M7" s="3">
        <f t="shared" si="4"/>
        <v>4.419047619047619E-2</v>
      </c>
      <c r="N7" s="3">
        <f>((N2*84)/2205)+(N3*5)/2205</f>
        <v>0.11337868480725624</v>
      </c>
      <c r="O7" s="3">
        <f>(O2*84)/2205</f>
        <v>0</v>
      </c>
      <c r="P7" s="3">
        <f>(P2*84)/2205</f>
        <v>0</v>
      </c>
      <c r="Q7" s="6">
        <f>(Q2*84)/2205</f>
        <v>0</v>
      </c>
      <c r="R7" s="45">
        <f>(R2*84)/2205</f>
        <v>3.3451428571428568</v>
      </c>
      <c r="S7" s="51">
        <f>(S2*84)/2205</f>
        <v>3.3893333333333326</v>
      </c>
    </row>
    <row r="8" spans="1:20" x14ac:dyDescent="0.35">
      <c r="A8" s="20" t="s">
        <v>33</v>
      </c>
      <c r="B8" s="3">
        <f t="shared" ref="B8:M8" si="5">(B2*5.5)/2205</f>
        <v>3.3424036281179139E-3</v>
      </c>
      <c r="C8" s="3">
        <f t="shared" si="5"/>
        <v>1.1473922902494331E-3</v>
      </c>
      <c r="D8" s="3">
        <f t="shared" si="5"/>
        <v>7.3083900226757377E-3</v>
      </c>
      <c r="E8" s="3">
        <f t="shared" si="5"/>
        <v>1.065079365079365E-2</v>
      </c>
      <c r="F8" s="3">
        <f t="shared" si="5"/>
        <v>2.0453514739229021E-2</v>
      </c>
      <c r="G8" s="3">
        <f t="shared" si="5"/>
        <v>5.2380952380952387E-3</v>
      </c>
      <c r="H8" s="3">
        <f t="shared" si="5"/>
        <v>0.1381859410430839</v>
      </c>
      <c r="I8" s="3">
        <f t="shared" si="5"/>
        <v>3.3174603174603175E-3</v>
      </c>
      <c r="J8" s="3">
        <f t="shared" si="5"/>
        <v>2.4095238095238097E-2</v>
      </c>
      <c r="K8" s="3">
        <f t="shared" si="5"/>
        <v>4.489795918367347E-3</v>
      </c>
      <c r="L8" s="3">
        <f t="shared" si="5"/>
        <v>7.9818594104308393E-4</v>
      </c>
      <c r="M8" s="3">
        <f t="shared" si="5"/>
        <v>2.8934240362811789E-3</v>
      </c>
      <c r="N8" s="3">
        <f>((N2*5.5)/2205)+(N3*0.252)/2205</f>
        <v>5.7142857142857143E-3</v>
      </c>
      <c r="O8" s="3">
        <f>(O2*5.5)/2205</f>
        <v>0</v>
      </c>
      <c r="P8" s="3">
        <f>(P2*5.5)/2205</f>
        <v>0</v>
      </c>
      <c r="Q8" s="6">
        <f>(Q2*5.5)/2205</f>
        <v>0</v>
      </c>
      <c r="R8" s="45">
        <f t="shared" si="2"/>
        <v>0.21902721088435376</v>
      </c>
      <c r="S8" s="46">
        <f t="shared" si="3"/>
        <v>0.22763492063492066</v>
      </c>
    </row>
    <row r="9" spans="1:20" ht="39.5" x14ac:dyDescent="0.35">
      <c r="A9" s="20" t="s">
        <v>20</v>
      </c>
      <c r="B9" s="3">
        <v>0</v>
      </c>
      <c r="C9" s="35">
        <v>1.95</v>
      </c>
      <c r="D9" s="35">
        <v>0.98</v>
      </c>
      <c r="E9" s="35">
        <v>0.43</v>
      </c>
      <c r="F9" s="35">
        <v>0.17</v>
      </c>
      <c r="G9" s="35">
        <v>0.32</v>
      </c>
      <c r="H9" s="35">
        <v>8.1199999999999992</v>
      </c>
      <c r="I9" s="4">
        <v>0</v>
      </c>
      <c r="J9" s="35">
        <v>8.81</v>
      </c>
      <c r="K9" s="35">
        <v>0</v>
      </c>
      <c r="L9" s="35">
        <v>0.24</v>
      </c>
      <c r="M9" s="35">
        <v>3.24</v>
      </c>
      <c r="N9" s="35">
        <v>0.63</v>
      </c>
      <c r="O9" s="4">
        <v>0</v>
      </c>
      <c r="P9" s="35">
        <v>3.09</v>
      </c>
      <c r="Q9" s="5">
        <v>0</v>
      </c>
      <c r="R9" s="45">
        <f t="shared" si="2"/>
        <v>21.02</v>
      </c>
      <c r="S9" s="46">
        <f t="shared" si="3"/>
        <v>27.979999999999997</v>
      </c>
    </row>
    <row r="10" spans="1:20" x14ac:dyDescent="0.35">
      <c r="A10" s="20" t="s">
        <v>34</v>
      </c>
      <c r="B10" s="3">
        <f t="shared" ref="B10:M10" si="6">(B2*0.6)/2205</f>
        <v>3.6462585034013607E-4</v>
      </c>
      <c r="C10" s="3">
        <f t="shared" si="6"/>
        <v>1.2517006802721089E-4</v>
      </c>
      <c r="D10" s="3">
        <f t="shared" si="6"/>
        <v>7.9727891156462587E-4</v>
      </c>
      <c r="E10" s="3">
        <f t="shared" si="6"/>
        <v>1.1619047619047618E-3</v>
      </c>
      <c r="F10" s="3">
        <f t="shared" si="6"/>
        <v>2.2312925170068021E-3</v>
      </c>
      <c r="G10" s="3">
        <f t="shared" si="6"/>
        <v>5.7142857142857147E-4</v>
      </c>
      <c r="H10" s="3">
        <f t="shared" si="6"/>
        <v>1.5074829931972787E-2</v>
      </c>
      <c r="I10" s="3">
        <f t="shared" si="6"/>
        <v>3.6190476190476191E-4</v>
      </c>
      <c r="J10" s="3">
        <f t="shared" si="6"/>
        <v>2.6285714285714289E-3</v>
      </c>
      <c r="K10" s="3">
        <f t="shared" si="6"/>
        <v>4.8979591836734702E-4</v>
      </c>
      <c r="L10" s="3">
        <f t="shared" si="6"/>
        <v>8.7074829931972796E-5</v>
      </c>
      <c r="M10" s="3">
        <f t="shared" si="6"/>
        <v>3.1564625850340135E-4</v>
      </c>
      <c r="N10" s="3">
        <f>((N2*0.6)/2205)+(N3*142)/2205</f>
        <v>3.2199546485260773</v>
      </c>
      <c r="O10" s="3">
        <f>(O2*0.6)/2205</f>
        <v>0</v>
      </c>
      <c r="P10" s="3">
        <f>(P2*0.6)/2205</f>
        <v>0</v>
      </c>
      <c r="Q10" s="6">
        <f>(Q2*0.6)/2205</f>
        <v>0</v>
      </c>
      <c r="R10" s="45">
        <f t="shared" si="2"/>
        <v>2.3893877551020407E-2</v>
      </c>
      <c r="S10" s="46">
        <f t="shared" si="3"/>
        <v>3.2441641723356009</v>
      </c>
    </row>
    <row r="11" spans="1:20" x14ac:dyDescent="0.35">
      <c r="A11" s="20" t="s">
        <v>35</v>
      </c>
      <c r="B11" s="3">
        <f>(B2*1.8)/2205</f>
        <v>1.0938775510204084E-3</v>
      </c>
      <c r="C11" s="3">
        <f>(C2*1.8)/2205</f>
        <v>3.7551020408163268E-4</v>
      </c>
      <c r="D11" s="36">
        <v>7.0000000000000007E-2</v>
      </c>
      <c r="E11" s="36">
        <f>E8*0.078</f>
        <v>8.3076190476190468E-4</v>
      </c>
      <c r="F11" s="36">
        <f>F8*0.8</f>
        <v>1.6362811791383217E-2</v>
      </c>
      <c r="G11" s="3">
        <f>(G2*1.8)/2205</f>
        <v>1.7142857142857144E-3</v>
      </c>
      <c r="H11" s="36">
        <v>3.72</v>
      </c>
      <c r="I11" s="3">
        <f>(I2*1.8)/2205</f>
        <v>1.0857142857142858E-3</v>
      </c>
      <c r="J11" s="3">
        <f>(J2*1.8)/2205</f>
        <v>7.8857142857142858E-3</v>
      </c>
      <c r="K11" s="3">
        <f>(K2*1.8)/2205</f>
        <v>1.469387755102041E-3</v>
      </c>
      <c r="L11" s="3">
        <f>(L2*1.8)/2205</f>
        <v>2.612244897959184E-4</v>
      </c>
      <c r="M11" s="36">
        <v>1.18</v>
      </c>
      <c r="N11" s="36">
        <v>0.17</v>
      </c>
      <c r="O11" s="36">
        <f>(O2*1.8)/2205</f>
        <v>0</v>
      </c>
      <c r="P11" s="36">
        <v>0.64</v>
      </c>
      <c r="Q11" s="6">
        <f>(Q2*1.8)/2205</f>
        <v>0</v>
      </c>
      <c r="R11" s="45">
        <f t="shared" si="2"/>
        <v>3.8210792879818598</v>
      </c>
      <c r="S11" s="46">
        <f t="shared" si="3"/>
        <v>5.8110792879818591</v>
      </c>
    </row>
    <row r="12" spans="1:20" x14ac:dyDescent="0.35">
      <c r="A12" s="20" t="s">
        <v>36</v>
      </c>
      <c r="B12" s="3">
        <f t="shared" ref="B12:M12" si="7">(B2*7.6)/2205</f>
        <v>4.6185941043083894E-3</v>
      </c>
      <c r="C12" s="3">
        <f t="shared" si="7"/>
        <v>1.5854875283446712E-3</v>
      </c>
      <c r="D12" s="3">
        <f t="shared" si="7"/>
        <v>1.0098866213151928E-2</v>
      </c>
      <c r="E12" s="3">
        <f t="shared" si="7"/>
        <v>1.4717460317460317E-2</v>
      </c>
      <c r="F12" s="3">
        <f t="shared" si="7"/>
        <v>2.8263038548752832E-2</v>
      </c>
      <c r="G12" s="3">
        <f t="shared" si="7"/>
        <v>7.2380952380952379E-3</v>
      </c>
      <c r="H12" s="3">
        <f t="shared" si="7"/>
        <v>0.19094784580498864</v>
      </c>
      <c r="I12" s="3">
        <f t="shared" si="7"/>
        <v>4.5841269841269848E-3</v>
      </c>
      <c r="J12" s="3">
        <f t="shared" si="7"/>
        <v>3.3295238095238093E-2</v>
      </c>
      <c r="K12" s="3">
        <f t="shared" si="7"/>
        <v>6.2040816326530612E-3</v>
      </c>
      <c r="L12" s="3">
        <f t="shared" si="7"/>
        <v>1.1029478458049887E-3</v>
      </c>
      <c r="M12" s="3">
        <f t="shared" si="7"/>
        <v>3.9981859410430833E-3</v>
      </c>
      <c r="N12" s="3">
        <f>((N2*7.6)/2205)+(N3*2)/2205</f>
        <v>4.5351473922902494E-2</v>
      </c>
      <c r="O12" s="3">
        <f>(O2*7.6)/2205</f>
        <v>0</v>
      </c>
      <c r="P12" s="3">
        <f>(P2*7.6)/2205</f>
        <v>0</v>
      </c>
      <c r="Q12" s="6">
        <f>(Q2*7.6)/2205</f>
        <v>0</v>
      </c>
      <c r="R12" s="45">
        <f t="shared" si="2"/>
        <v>0.30265578231292511</v>
      </c>
      <c r="S12" s="46">
        <f t="shared" si="3"/>
        <v>0.35200544217687069</v>
      </c>
    </row>
    <row r="13" spans="1:20" x14ac:dyDescent="0.35">
      <c r="A13" s="20" t="s">
        <v>37</v>
      </c>
      <c r="B13" s="3">
        <f t="shared" ref="B13:M13" si="8">(B2*2.3)/2205</f>
        <v>1.3977324263038549E-3</v>
      </c>
      <c r="C13" s="3">
        <f t="shared" si="8"/>
        <v>4.7981859410430841E-4</v>
      </c>
      <c r="D13" s="3">
        <f>(D2*2.3)/2205</f>
        <v>3.0562358276643989E-3</v>
      </c>
      <c r="E13" s="3">
        <f t="shared" si="8"/>
        <v>4.4539682539682527E-3</v>
      </c>
      <c r="F13" s="3">
        <f t="shared" si="8"/>
        <v>8.5532879818594077E-3</v>
      </c>
      <c r="G13" s="3">
        <f t="shared" si="8"/>
        <v>2.1904761904761906E-3</v>
      </c>
      <c r="H13" s="3">
        <f t="shared" si="8"/>
        <v>5.7786848072562354E-2</v>
      </c>
      <c r="I13" s="3">
        <f t="shared" si="8"/>
        <v>1.3873015873015872E-3</v>
      </c>
      <c r="J13" s="3">
        <f t="shared" si="8"/>
        <v>1.0076190476190476E-2</v>
      </c>
      <c r="K13" s="3">
        <f t="shared" si="8"/>
        <v>1.8775510204081631E-3</v>
      </c>
      <c r="L13" s="3">
        <f t="shared" si="8"/>
        <v>3.3378684807256235E-4</v>
      </c>
      <c r="M13" s="3">
        <f t="shared" si="8"/>
        <v>1.2099773242630384E-3</v>
      </c>
      <c r="N13" s="3">
        <f>((N2*2.3)/2205)+(N3*0.052)/2205</f>
        <v>1.1791383219954649E-3</v>
      </c>
      <c r="O13" s="3">
        <f>(O2*2.3)/2205</f>
        <v>0</v>
      </c>
      <c r="P13" s="3">
        <f>(P2*2.3)/2205</f>
        <v>0</v>
      </c>
      <c r="Q13" s="6">
        <f>(Q2*2.3)/2205</f>
        <v>0</v>
      </c>
      <c r="R13" s="45">
        <f>(R2*2.3)/2205</f>
        <v>9.1593197278911548E-2</v>
      </c>
      <c r="S13" s="51">
        <f>(S2*2.3)/2205</f>
        <v>9.2803174603174582E-2</v>
      </c>
    </row>
    <row r="14" spans="1:20" x14ac:dyDescent="0.35">
      <c r="A14" s="20" t="s">
        <v>38</v>
      </c>
      <c r="B14" s="3">
        <f t="shared" ref="B14:M14" si="9">(B2*2.2)/2205</f>
        <v>1.3369614512471657E-3</v>
      </c>
      <c r="C14" s="3">
        <f t="shared" si="9"/>
        <v>4.5895691609977335E-4</v>
      </c>
      <c r="D14" s="3">
        <f t="shared" si="9"/>
        <v>2.9233560090702951E-3</v>
      </c>
      <c r="E14" s="3">
        <f t="shared" si="9"/>
        <v>4.2603174603174608E-3</v>
      </c>
      <c r="F14" s="3">
        <f t="shared" si="9"/>
        <v>8.1814058956916104E-3</v>
      </c>
      <c r="G14" s="3">
        <f t="shared" si="9"/>
        <v>2.0952380952380958E-3</v>
      </c>
      <c r="H14" s="3">
        <f t="shared" si="9"/>
        <v>5.5274376417233567E-2</v>
      </c>
      <c r="I14" s="3">
        <f t="shared" si="9"/>
        <v>1.3269841269841272E-3</v>
      </c>
      <c r="J14" s="3">
        <f t="shared" si="9"/>
        <v>9.638095238095239E-3</v>
      </c>
      <c r="K14" s="3">
        <f t="shared" si="9"/>
        <v>1.795918367346939E-3</v>
      </c>
      <c r="L14" s="3">
        <f t="shared" si="9"/>
        <v>3.1927437641723357E-4</v>
      </c>
      <c r="M14" s="3">
        <f t="shared" si="9"/>
        <v>1.1573696145124716E-3</v>
      </c>
      <c r="N14" s="3">
        <f>((N2*2.2)/2205)+(N3*0.26)/2205</f>
        <v>5.8956916099773245E-3</v>
      </c>
      <c r="O14" s="3">
        <f>(O2*2.2)/2205</f>
        <v>0</v>
      </c>
      <c r="P14" s="3">
        <f>(P2*2.2)/2205</f>
        <v>0</v>
      </c>
      <c r="Q14" s="6">
        <f>(Q2*2.2)/2205</f>
        <v>0</v>
      </c>
      <c r="R14" s="45">
        <f>(R2*2.2)/2205</f>
        <v>8.7610884353741494E-2</v>
      </c>
      <c r="S14" s="51">
        <f>(S2*2.2)/2205</f>
        <v>8.8768253968253955E-2</v>
      </c>
    </row>
    <row r="15" spans="1:20" ht="27" thickBot="1" x14ac:dyDescent="0.4">
      <c r="A15" s="21" t="s">
        <v>39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v>0</v>
      </c>
      <c r="R15" s="52">
        <v>0</v>
      </c>
      <c r="S15" s="53">
        <v>0</v>
      </c>
    </row>
    <row r="16" spans="1:20" ht="15" thickTop="1" x14ac:dyDescent="0.35">
      <c r="A16" s="22" t="s">
        <v>23</v>
      </c>
      <c r="B16" s="38">
        <v>141372</v>
      </c>
      <c r="C16" s="37">
        <v>85000</v>
      </c>
      <c r="D16" s="37">
        <v>0</v>
      </c>
      <c r="E16" s="37">
        <v>535000</v>
      </c>
      <c r="F16" s="37">
        <v>518000</v>
      </c>
      <c r="G16" s="37">
        <v>386379</v>
      </c>
      <c r="H16" s="37">
        <v>508300</v>
      </c>
      <c r="I16" s="37">
        <v>95200</v>
      </c>
      <c r="J16" s="37">
        <v>460768</v>
      </c>
      <c r="K16" s="37">
        <v>31000</v>
      </c>
      <c r="L16" s="37">
        <v>40300</v>
      </c>
      <c r="M16" s="37">
        <v>8982</v>
      </c>
      <c r="N16" s="37">
        <v>294624</v>
      </c>
      <c r="O16" s="37">
        <v>6865</v>
      </c>
      <c r="P16" s="37">
        <v>238128</v>
      </c>
      <c r="Q16" s="78">
        <v>137808</v>
      </c>
      <c r="R16" s="26">
        <f>SUM(B16:L16)</f>
        <v>2801319</v>
      </c>
      <c r="S16" s="27">
        <f>SUM(B16:Q16)</f>
        <v>3487726</v>
      </c>
    </row>
    <row r="17" spans="1:20" x14ac:dyDescent="0.35">
      <c r="A17" s="24" t="s">
        <v>41</v>
      </c>
      <c r="B17" s="81">
        <f t="shared" ref="B17:S17" si="10">B16*0.9</f>
        <v>127234.8</v>
      </c>
      <c r="C17" s="81">
        <f t="shared" si="10"/>
        <v>76500</v>
      </c>
      <c r="D17" s="81">
        <f t="shared" si="10"/>
        <v>0</v>
      </c>
      <c r="E17" s="81">
        <f t="shared" si="10"/>
        <v>481500</v>
      </c>
      <c r="F17" s="81">
        <f t="shared" si="10"/>
        <v>466200</v>
      </c>
      <c r="G17" s="81">
        <f t="shared" si="10"/>
        <v>347741.10000000003</v>
      </c>
      <c r="H17" s="81">
        <f t="shared" si="10"/>
        <v>457470</v>
      </c>
      <c r="I17" s="81">
        <f t="shared" si="10"/>
        <v>85680</v>
      </c>
      <c r="J17" s="81">
        <f t="shared" si="10"/>
        <v>414691.2</v>
      </c>
      <c r="K17" s="81">
        <f t="shared" si="10"/>
        <v>27900</v>
      </c>
      <c r="L17" s="81">
        <f t="shared" si="10"/>
        <v>36270</v>
      </c>
      <c r="M17" s="81">
        <f t="shared" si="10"/>
        <v>8083.8</v>
      </c>
      <c r="N17" s="81">
        <f t="shared" si="10"/>
        <v>265161.60000000003</v>
      </c>
      <c r="O17" s="81">
        <f t="shared" si="10"/>
        <v>6178.5</v>
      </c>
      <c r="P17" s="89">
        <f t="shared" si="10"/>
        <v>214315.2</v>
      </c>
      <c r="Q17" s="82">
        <f t="shared" si="10"/>
        <v>124027.2</v>
      </c>
      <c r="R17" s="54">
        <f t="shared" si="10"/>
        <v>2521187.1</v>
      </c>
      <c r="S17" s="50">
        <f t="shared" si="10"/>
        <v>3138953.4</v>
      </c>
    </row>
    <row r="18" spans="1:20" ht="26.5" x14ac:dyDescent="0.35">
      <c r="A18" s="19" t="s">
        <v>49</v>
      </c>
      <c r="B18" s="83">
        <f>B17/B4</f>
        <v>1429.6044943820225</v>
      </c>
      <c r="C18" s="83">
        <f t="shared" ref="C18:Q18" si="11">C17/C4</f>
        <v>2250</v>
      </c>
      <c r="D18" s="83">
        <f t="shared" si="11"/>
        <v>0</v>
      </c>
      <c r="E18" s="83">
        <f t="shared" si="11"/>
        <v>19260</v>
      </c>
      <c r="F18" s="83">
        <f t="shared" si="11"/>
        <v>16650</v>
      </c>
      <c r="G18" s="83">
        <f t="shared" si="11"/>
        <v>3343.6644230769234</v>
      </c>
      <c r="H18" s="83">
        <f t="shared" si="11"/>
        <v>3943.7068965517242</v>
      </c>
      <c r="I18" s="83">
        <f t="shared" si="11"/>
        <v>4760</v>
      </c>
      <c r="J18" s="83">
        <f t="shared" si="11"/>
        <v>15358.933333333334</v>
      </c>
      <c r="K18" s="83">
        <f t="shared" si="11"/>
        <v>3100</v>
      </c>
      <c r="L18" s="83">
        <f t="shared" si="11"/>
        <v>3022.5</v>
      </c>
      <c r="M18" s="83">
        <f t="shared" si="11"/>
        <v>202.095</v>
      </c>
      <c r="N18" s="83">
        <f t="shared" si="11"/>
        <v>8838.7200000000012</v>
      </c>
      <c r="O18" s="83">
        <f t="shared" si="11"/>
        <v>2059.5</v>
      </c>
      <c r="P18" s="90">
        <f t="shared" si="11"/>
        <v>13394.7</v>
      </c>
      <c r="Q18" s="84">
        <f t="shared" si="11"/>
        <v>2696.2434782608693</v>
      </c>
      <c r="R18" s="83">
        <f t="shared" ref="R18" si="12">R17/R4</f>
        <v>4712.499252336449</v>
      </c>
      <c r="S18" s="84">
        <f t="shared" ref="S18" si="13">S17/S4</f>
        <v>4685.0050746268653</v>
      </c>
    </row>
    <row r="19" spans="1:20" ht="15" thickBot="1" x14ac:dyDescent="0.4">
      <c r="A19" s="23" t="s">
        <v>40</v>
      </c>
      <c r="B19" s="9" t="s">
        <v>17</v>
      </c>
      <c r="C19" s="9" t="s">
        <v>17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  <c r="K19" s="9" t="s">
        <v>17</v>
      </c>
      <c r="L19" s="9" t="s">
        <v>17</v>
      </c>
      <c r="M19" s="9" t="s">
        <v>17</v>
      </c>
      <c r="N19" s="9" t="s">
        <v>17</v>
      </c>
      <c r="O19" s="9" t="s">
        <v>17</v>
      </c>
      <c r="P19" s="91" t="s">
        <v>17</v>
      </c>
      <c r="Q19" s="10" t="s">
        <v>17</v>
      </c>
      <c r="R19" s="55" t="s">
        <v>17</v>
      </c>
      <c r="S19" s="56" t="s">
        <v>17</v>
      </c>
    </row>
    <row r="20" spans="1:20" ht="27" thickTop="1" x14ac:dyDescent="0.35">
      <c r="A20" s="22" t="s">
        <v>26</v>
      </c>
      <c r="B20" s="38">
        <v>287920</v>
      </c>
      <c r="C20" s="37">
        <v>307388</v>
      </c>
      <c r="D20" s="37">
        <v>1890000</v>
      </c>
      <c r="E20" s="37">
        <v>799103</v>
      </c>
      <c r="F20" s="37">
        <v>1227200</v>
      </c>
      <c r="G20" s="37">
        <v>2753780</v>
      </c>
      <c r="H20" s="37">
        <v>4894462</v>
      </c>
      <c r="I20" s="37">
        <v>811600</v>
      </c>
      <c r="J20" s="37">
        <v>1083187</v>
      </c>
      <c r="K20" s="37">
        <v>308527</v>
      </c>
      <c r="L20" s="37">
        <v>239419</v>
      </c>
      <c r="M20" s="37">
        <v>444140</v>
      </c>
      <c r="N20" s="37">
        <v>84582</v>
      </c>
      <c r="O20" s="37">
        <v>21502</v>
      </c>
      <c r="P20" s="37">
        <v>56565</v>
      </c>
      <c r="Q20" s="78">
        <v>232163</v>
      </c>
      <c r="R20" s="26">
        <f>SUM(B20:L20)</f>
        <v>14602586</v>
      </c>
      <c r="S20" s="42">
        <f>SUM(B20:Q20)</f>
        <v>15441538</v>
      </c>
      <c r="T20" s="12"/>
    </row>
    <row r="21" spans="1:20" ht="29" x14ac:dyDescent="0.35">
      <c r="A21" s="31" t="s">
        <v>46</v>
      </c>
      <c r="B21" s="32">
        <f>B20*0.000707</f>
        <v>203.55944</v>
      </c>
      <c r="C21" s="32">
        <f t="shared" ref="C21:Q21" si="14">C20*0.000707</f>
        <v>217.32331599999998</v>
      </c>
      <c r="D21" s="32">
        <f t="shared" si="14"/>
        <v>1336.2299999999998</v>
      </c>
      <c r="E21" s="32">
        <f t="shared" si="14"/>
        <v>564.96582100000001</v>
      </c>
      <c r="F21" s="32">
        <f t="shared" si="14"/>
        <v>867.6303999999999</v>
      </c>
      <c r="G21" s="32">
        <f t="shared" si="14"/>
        <v>1946.9224599999998</v>
      </c>
      <c r="H21" s="32">
        <f t="shared" si="14"/>
        <v>3460.3846339999996</v>
      </c>
      <c r="I21" s="32">
        <f t="shared" si="14"/>
        <v>573.80119999999999</v>
      </c>
      <c r="J21" s="32">
        <f t="shared" si="14"/>
        <v>765.81320899999992</v>
      </c>
      <c r="K21" s="32">
        <f t="shared" si="14"/>
        <v>218.12858899999998</v>
      </c>
      <c r="L21" s="32">
        <f t="shared" si="14"/>
        <v>169.26923299999999</v>
      </c>
      <c r="M21" s="32">
        <f t="shared" si="14"/>
        <v>314.00698</v>
      </c>
      <c r="N21" s="32">
        <f t="shared" si="14"/>
        <v>59.799473999999996</v>
      </c>
      <c r="O21" s="32">
        <f t="shared" si="14"/>
        <v>15.201913999999999</v>
      </c>
      <c r="P21" s="32">
        <f t="shared" si="14"/>
        <v>39.991454999999995</v>
      </c>
      <c r="Q21" s="32">
        <f t="shared" si="14"/>
        <v>164.139241</v>
      </c>
      <c r="R21" s="43">
        <f>SUM(B21:L21)</f>
        <v>10324.028301999999</v>
      </c>
      <c r="S21" s="44">
        <f>SUM(B21:Q21)</f>
        <v>10917.167365999998</v>
      </c>
      <c r="T21" s="12"/>
    </row>
    <row r="22" spans="1:20" ht="40" thickBot="1" x14ac:dyDescent="0.4">
      <c r="A22" s="92" t="s">
        <v>48</v>
      </c>
      <c r="B22" s="73" t="s">
        <v>17</v>
      </c>
      <c r="C22" s="73" t="s">
        <v>17</v>
      </c>
      <c r="D22" s="73" t="s">
        <v>17</v>
      </c>
      <c r="E22" s="73" t="s">
        <v>17</v>
      </c>
      <c r="F22" s="73" t="s">
        <v>17</v>
      </c>
      <c r="G22" s="73" t="s">
        <v>17</v>
      </c>
      <c r="H22" s="73" t="s">
        <v>17</v>
      </c>
      <c r="I22" s="73" t="s">
        <v>17</v>
      </c>
      <c r="J22" s="73" t="s">
        <v>17</v>
      </c>
      <c r="K22" s="73" t="s">
        <v>17</v>
      </c>
      <c r="L22" s="73" t="s">
        <v>17</v>
      </c>
      <c r="M22" s="73" t="s">
        <v>17</v>
      </c>
      <c r="N22" s="73" t="s">
        <v>17</v>
      </c>
      <c r="O22" s="73" t="s">
        <v>17</v>
      </c>
      <c r="P22" s="73" t="s">
        <v>17</v>
      </c>
      <c r="Q22" s="74" t="s">
        <v>17</v>
      </c>
      <c r="R22" s="75" t="s">
        <v>17</v>
      </c>
      <c r="S22" s="76" t="s">
        <v>17</v>
      </c>
    </row>
    <row r="23" spans="1:20" ht="27.5" thickTop="1" thickBot="1" x14ac:dyDescent="0.4">
      <c r="A23" s="25" t="s">
        <v>43</v>
      </c>
      <c r="B23" s="11" t="s">
        <v>18</v>
      </c>
      <c r="C23" s="11" t="s">
        <v>18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18</v>
      </c>
      <c r="I23" s="11" t="s">
        <v>18</v>
      </c>
      <c r="J23" s="11" t="s">
        <v>18</v>
      </c>
      <c r="K23" s="11" t="s">
        <v>18</v>
      </c>
      <c r="L23" s="11" t="s">
        <v>18</v>
      </c>
      <c r="M23" s="11" t="s">
        <v>18</v>
      </c>
      <c r="N23" s="11" t="s">
        <v>18</v>
      </c>
      <c r="O23" s="11" t="s">
        <v>18</v>
      </c>
      <c r="P23" s="11" t="s">
        <v>18</v>
      </c>
      <c r="Q23" s="28" t="s">
        <v>18</v>
      </c>
      <c r="R23" s="57" t="s">
        <v>18</v>
      </c>
      <c r="S23" s="58" t="s">
        <v>18</v>
      </c>
    </row>
    <row r="24" spans="1:20" ht="27" thickTop="1" x14ac:dyDescent="0.35">
      <c r="A24" s="22" t="s">
        <v>24</v>
      </c>
      <c r="B24" s="86">
        <v>0.52</v>
      </c>
      <c r="C24" s="70">
        <v>7.38</v>
      </c>
      <c r="D24" s="70">
        <v>2.27</v>
      </c>
      <c r="E24" s="70">
        <v>30.55</v>
      </c>
      <c r="F24" s="70">
        <v>2.06</v>
      </c>
      <c r="G24" s="70">
        <v>0.63</v>
      </c>
      <c r="H24" s="70">
        <v>94.78</v>
      </c>
      <c r="I24" s="70">
        <v>0.05</v>
      </c>
      <c r="J24" s="70">
        <v>0</v>
      </c>
      <c r="K24" s="70">
        <v>0.19</v>
      </c>
      <c r="L24" s="70">
        <v>0</v>
      </c>
      <c r="M24" s="70">
        <v>62</v>
      </c>
      <c r="N24" s="70">
        <v>0</v>
      </c>
      <c r="O24" s="70">
        <v>0</v>
      </c>
      <c r="P24" s="70">
        <v>1.4</v>
      </c>
      <c r="Q24" s="69">
        <v>0</v>
      </c>
      <c r="R24" s="59">
        <f>SUM(B24:L24)</f>
        <v>138.43</v>
      </c>
      <c r="S24" s="60">
        <f>SUM(B24:Q24)</f>
        <v>201.83</v>
      </c>
    </row>
    <row r="25" spans="1:20" ht="26.5" x14ac:dyDescent="0.35">
      <c r="A25" s="24" t="s">
        <v>25</v>
      </c>
      <c r="B25" s="72">
        <v>100</v>
      </c>
      <c r="C25" s="65">
        <v>100</v>
      </c>
      <c r="D25" s="65">
        <v>100</v>
      </c>
      <c r="E25" s="65">
        <v>100</v>
      </c>
      <c r="F25" s="65">
        <v>100</v>
      </c>
      <c r="G25" s="72">
        <v>100</v>
      </c>
      <c r="H25" s="65">
        <v>100</v>
      </c>
      <c r="I25" s="65">
        <v>100</v>
      </c>
      <c r="J25" s="65" t="s">
        <v>17</v>
      </c>
      <c r="K25" s="65">
        <v>100</v>
      </c>
      <c r="L25" s="72" t="s">
        <v>17</v>
      </c>
      <c r="M25" s="65">
        <v>100</v>
      </c>
      <c r="N25" s="65">
        <v>100</v>
      </c>
      <c r="O25" s="72" t="s">
        <v>17</v>
      </c>
      <c r="P25" s="65">
        <v>100</v>
      </c>
      <c r="Q25" s="66" t="s">
        <v>17</v>
      </c>
      <c r="R25" s="67">
        <v>100</v>
      </c>
      <c r="S25" s="68">
        <v>100</v>
      </c>
    </row>
    <row r="26" spans="1:20" ht="26.5" x14ac:dyDescent="0.35">
      <c r="A26" s="24" t="s">
        <v>22</v>
      </c>
      <c r="B26" s="87">
        <v>0</v>
      </c>
      <c r="C26" s="65">
        <v>0</v>
      </c>
      <c r="D26" s="65">
        <v>0</v>
      </c>
      <c r="E26" s="65">
        <v>0</v>
      </c>
      <c r="F26" s="65">
        <v>0</v>
      </c>
      <c r="G26" s="72">
        <v>0</v>
      </c>
      <c r="H26" s="65">
        <v>0</v>
      </c>
      <c r="I26" s="65">
        <v>0</v>
      </c>
      <c r="J26" s="65" t="s">
        <v>17</v>
      </c>
      <c r="K26" s="65">
        <v>0</v>
      </c>
      <c r="L26" s="72" t="s">
        <v>17</v>
      </c>
      <c r="M26" s="65">
        <v>0</v>
      </c>
      <c r="N26" s="65">
        <v>0</v>
      </c>
      <c r="O26" s="72" t="s">
        <v>17</v>
      </c>
      <c r="P26" s="65">
        <v>0</v>
      </c>
      <c r="Q26" s="66" t="s">
        <v>17</v>
      </c>
      <c r="R26" s="67">
        <f>SUM(B26:L26)</f>
        <v>0</v>
      </c>
      <c r="S26" s="68">
        <f t="shared" ref="S26" si="15">SUM(B26:Q26)</f>
        <v>0</v>
      </c>
    </row>
    <row r="27" spans="1:20" ht="39.5" x14ac:dyDescent="0.35">
      <c r="A27" s="24" t="s">
        <v>21</v>
      </c>
      <c r="B27" s="88">
        <f>SUM(B28:B30)</f>
        <v>14.51</v>
      </c>
      <c r="C27" s="29">
        <f t="shared" ref="C27:Q27" si="16">SUM(C28:C30)</f>
        <v>69.39</v>
      </c>
      <c r="D27" s="29">
        <f t="shared" si="16"/>
        <v>448.57000000000005</v>
      </c>
      <c r="E27" s="29">
        <f t="shared" si="16"/>
        <v>976.15000000000009</v>
      </c>
      <c r="F27" s="29">
        <f t="shared" si="16"/>
        <v>1223.28</v>
      </c>
      <c r="G27" s="29">
        <f t="shared" si="16"/>
        <v>521.94000000000005</v>
      </c>
      <c r="H27" s="29">
        <f t="shared" si="16"/>
        <v>895.88999999999987</v>
      </c>
      <c r="I27" s="29">
        <f t="shared" si="16"/>
        <v>169.24</v>
      </c>
      <c r="J27" s="29">
        <f t="shared" si="16"/>
        <v>344.74</v>
      </c>
      <c r="K27" s="29">
        <f t="shared" si="16"/>
        <v>79.03</v>
      </c>
      <c r="L27" s="29">
        <f t="shared" si="16"/>
        <v>101.43</v>
      </c>
      <c r="M27" s="29">
        <f t="shared" si="16"/>
        <v>147.21</v>
      </c>
      <c r="N27" s="29">
        <f t="shared" si="16"/>
        <v>252.01999999999998</v>
      </c>
      <c r="O27" s="29">
        <f t="shared" si="16"/>
        <v>2.69</v>
      </c>
      <c r="P27" s="29">
        <f t="shared" si="16"/>
        <v>11.370000000000001</v>
      </c>
      <c r="Q27" s="29">
        <f t="shared" si="16"/>
        <v>30.66</v>
      </c>
      <c r="R27" s="61">
        <f>SUM(B27:L27)</f>
        <v>4844.1699999999992</v>
      </c>
      <c r="S27" s="62">
        <f>SUM(B27:Q27)</f>
        <v>5288.119999999999</v>
      </c>
    </row>
    <row r="28" spans="1:20" ht="39.5" x14ac:dyDescent="0.35">
      <c r="A28" s="24" t="s">
        <v>29</v>
      </c>
      <c r="B28" s="77">
        <v>10.88</v>
      </c>
      <c r="C28" s="77">
        <v>18.61</v>
      </c>
      <c r="D28" s="77">
        <v>102.6</v>
      </c>
      <c r="E28" s="77">
        <v>18.87</v>
      </c>
      <c r="F28" s="77">
        <v>146.58000000000001</v>
      </c>
      <c r="G28" s="77">
        <v>420</v>
      </c>
      <c r="H28" s="77">
        <v>613</v>
      </c>
      <c r="I28" s="77">
        <v>12.39</v>
      </c>
      <c r="J28" s="77">
        <v>320</v>
      </c>
      <c r="K28" s="77">
        <v>50</v>
      </c>
      <c r="L28" s="77">
        <v>100</v>
      </c>
      <c r="M28" s="77">
        <v>3.97</v>
      </c>
      <c r="N28" s="77">
        <v>120.86</v>
      </c>
      <c r="O28" s="77">
        <v>0</v>
      </c>
      <c r="P28" s="77">
        <v>3.99</v>
      </c>
      <c r="Q28" s="79">
        <v>6</v>
      </c>
      <c r="R28" s="61">
        <f>SUM(B28:L28)</f>
        <v>1812.93</v>
      </c>
      <c r="S28" s="62">
        <f>SUM(B28:Q28)</f>
        <v>1947.75</v>
      </c>
    </row>
    <row r="29" spans="1:20" ht="39.5" x14ac:dyDescent="0.35">
      <c r="A29" s="19" t="s">
        <v>27</v>
      </c>
      <c r="B29" s="34">
        <v>0.36</v>
      </c>
      <c r="C29" s="34">
        <v>25.78</v>
      </c>
      <c r="D29" s="34">
        <v>1.75</v>
      </c>
      <c r="E29" s="34">
        <v>7.07</v>
      </c>
      <c r="F29" s="34">
        <v>16.170000000000002</v>
      </c>
      <c r="G29" s="34">
        <v>11.94</v>
      </c>
      <c r="H29" s="34">
        <v>0.18</v>
      </c>
      <c r="I29" s="34">
        <v>19.05</v>
      </c>
      <c r="J29" s="34">
        <v>0.25</v>
      </c>
      <c r="K29" s="34">
        <v>0</v>
      </c>
      <c r="L29" s="34">
        <v>0.43</v>
      </c>
      <c r="M29" s="34">
        <v>0</v>
      </c>
      <c r="N29" s="34">
        <v>28.52</v>
      </c>
      <c r="O29" s="34" t="s">
        <v>17</v>
      </c>
      <c r="P29" s="34">
        <v>0</v>
      </c>
      <c r="Q29" s="33">
        <v>0</v>
      </c>
      <c r="R29" s="61">
        <f>SUM(B29:L29)</f>
        <v>82.98</v>
      </c>
      <c r="S29" s="62">
        <f>SUM(B29:Q29)</f>
        <v>111.5</v>
      </c>
    </row>
    <row r="30" spans="1:20" ht="27" thickBot="1" x14ac:dyDescent="0.4">
      <c r="A30" s="23" t="s">
        <v>28</v>
      </c>
      <c r="B30" s="71">
        <v>3.27</v>
      </c>
      <c r="C30" s="71">
        <v>25</v>
      </c>
      <c r="D30" s="80">
        <v>344.22</v>
      </c>
      <c r="E30" s="71">
        <v>950.21</v>
      </c>
      <c r="F30" s="71">
        <v>1060.53</v>
      </c>
      <c r="G30" s="71">
        <v>90</v>
      </c>
      <c r="H30" s="71">
        <v>282.70999999999998</v>
      </c>
      <c r="I30" s="71">
        <v>137.80000000000001</v>
      </c>
      <c r="J30" s="71">
        <v>24.49</v>
      </c>
      <c r="K30" s="71">
        <v>29.03</v>
      </c>
      <c r="L30" s="71">
        <v>1</v>
      </c>
      <c r="M30" s="71">
        <v>143.24</v>
      </c>
      <c r="N30" s="71">
        <v>102.64</v>
      </c>
      <c r="O30" s="71">
        <v>2.69</v>
      </c>
      <c r="P30" s="71">
        <v>7.38</v>
      </c>
      <c r="Q30" s="85">
        <v>24.66</v>
      </c>
      <c r="R30" s="63">
        <f>SUM(B30:L30)</f>
        <v>2948.26</v>
      </c>
      <c r="S30" s="64">
        <f>SUM(B30:Q30)</f>
        <v>3228.87</v>
      </c>
    </row>
    <row r="31" spans="1:20" ht="15" thickTop="1" x14ac:dyDescent="0.35">
      <c r="A31" s="1"/>
    </row>
  </sheetData>
  <phoneticPr fontId="3" type="noConversion"/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58A7E72E054409F2C463E19BA1040" ma:contentTypeVersion="15" ma:contentTypeDescription="Create a new document." ma:contentTypeScope="" ma:versionID="4dad34da1ed0bb19060afb43f52ecc0b">
  <xsd:schema xmlns:xsd="http://www.w3.org/2001/XMLSchema" xmlns:xs="http://www.w3.org/2001/XMLSchema" xmlns:p="http://schemas.microsoft.com/office/2006/metadata/properties" xmlns:ns3="5c885af2-2e67-43a6-94e4-1f4069da5179" xmlns:ns4="ab0d9809-f1da-49a4-9713-2dedba954ced" targetNamespace="http://schemas.microsoft.com/office/2006/metadata/properties" ma:root="true" ma:fieldsID="a0c7a3dbfb93202c0682a269aacebd21" ns3:_="" ns4:_="">
    <xsd:import namespace="5c885af2-2e67-43a6-94e4-1f4069da5179"/>
    <xsd:import namespace="ab0d9809-f1da-49a4-9713-2dedba954c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5af2-2e67-43a6-94e4-1f4069da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d9809-f1da-49a4-9713-2dedba954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11EFF-24BB-43A9-B608-54E305E226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BFCA2-BDC9-47B9-9D48-84A4841AC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85af2-2e67-43a6-94e4-1f4069da5179"/>
    <ds:schemaRef ds:uri="ab0d9809-f1da-49a4-9713-2dedba954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765A6-6E3C-4CAA-92B2-76CDC441BDEA}">
  <ds:schemaRefs>
    <ds:schemaRef ds:uri="http://purl.org/dc/terms/"/>
    <ds:schemaRef ds:uri="ab0d9809-f1da-49a4-9713-2dedba954ced"/>
    <ds:schemaRef ds:uri="http://schemas.openxmlformats.org/package/2006/metadata/core-properties"/>
    <ds:schemaRef ds:uri="http://purl.org/dc/dcmitype/"/>
    <ds:schemaRef ds:uri="5c885af2-2e67-43a6-94e4-1f4069da517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 plant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Marine, John</dc:creator>
  <cp:lastModifiedBy>Marine, John</cp:lastModifiedBy>
  <cp:lastPrinted>2020-02-07T01:41:40Z</cp:lastPrinted>
  <dcterms:created xsi:type="dcterms:W3CDTF">2020-02-02T00:03:20Z</dcterms:created>
  <dcterms:modified xsi:type="dcterms:W3CDTF">2021-04-26T18:18:22Z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0x0101009BB58A7E72E054409F2C463E19BA1040</vt:lpwstr>
  </property>
</Properties>
</file>